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hidePivotFieldList="1"/>
  <mc:AlternateContent xmlns:mc="http://schemas.openxmlformats.org/markup-compatibility/2006">
    <mc:Choice Requires="x15">
      <x15ac:absPath xmlns:x15ac="http://schemas.microsoft.com/office/spreadsheetml/2010/11/ac" url="C:\Users\JOHNRONDON\Downloads\Información Página Web\2. Ejecución Presupuestal Sectorial e Institucional\"/>
    </mc:Choice>
  </mc:AlternateContent>
  <bookViews>
    <workbookView xWindow="0" yWindow="0" windowWidth="20490" windowHeight="7320" tabRatio="821" activeTab="7"/>
  </bookViews>
  <sheets>
    <sheet name="COMPARAR" sheetId="38" r:id="rId1"/>
    <sheet name="Hoja1" sheetId="58" r:id="rId2"/>
    <sheet name="INSUM_1" sheetId="41" r:id="rId3"/>
    <sheet name="ADMIN" sheetId="4" r:id="rId4"/>
    <sheet name="INSUMO" sheetId="52" r:id="rId5"/>
    <sheet name="BLOQUEOS CONFIS" sheetId="53" state="hidden" r:id="rId6"/>
    <sheet name="REPORTE" sheetId="7" r:id="rId7"/>
    <sheet name="REPORTE_ENTIDAD" sheetId="5" r:id="rId8"/>
    <sheet name="META" sheetId="56" state="hidden" r:id="rId9"/>
    <sheet name="PRESIDENCIA" sheetId="55" r:id="rId10"/>
    <sheet name="BI RECURSOS" sheetId="57"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h35" hidden="1">{#N/A,#N/A,FALSE,"informes"}</definedName>
    <definedName name="____R" hidden="1">{"INGRESOS DOLARES",#N/A,FALSE,"informes"}</definedName>
    <definedName name="___h35" hidden="1">{#N/A,#N/A,FALSE,"informes"}</definedName>
    <definedName name="___R" hidden="1">{"INGRESOS DOLARES",#N/A,FALSE,"informes"}</definedName>
    <definedName name="__123Graph_ATOTAL" localSheetId="4" hidden="1">[1]Resumen!#REF!</definedName>
    <definedName name="__123Graph_ATOTAL" hidden="1">[1]Resumen!#REF!</definedName>
    <definedName name="__123Graph_B" localSheetId="4" hidden="1">'[2]GIROS SITUAD.FISCAL- 2000'!#REF!</definedName>
    <definedName name="__123Graph_B" hidden="1">'[2]GIROS SITUAD.FISCAL- 2000'!#REF!</definedName>
    <definedName name="__123Graph_D" localSheetId="4" hidden="1">'[2]GIROS SITUAD.FISCAL- 2000'!#REF!</definedName>
    <definedName name="__123Graph_D" hidden="1">'[2]GIROS SITUAD.FISCAL- 2000'!#REF!</definedName>
    <definedName name="__123Graph_F" localSheetId="4" hidden="1">'[2]GIROS SITUAD.FISCAL- 2000'!#REF!</definedName>
    <definedName name="__123Graph_F" hidden="1">'[2]GIROS SITUAD.FISCAL- 2000'!#REF!</definedName>
    <definedName name="__123Graph_X" localSheetId="4" hidden="1">'[2]GIROS SITUAD.FISCAL- 2000'!#REF!</definedName>
    <definedName name="__123Graph_X" hidden="1">'[2]GIROS SITUAD.FISCAL- 2000'!#REF!</definedName>
    <definedName name="_Fill" hidden="1">[3]TCN!$B$53:$W$53</definedName>
    <definedName name="_xlnm._FilterDatabase" localSheetId="3" hidden="1">ADMIN!$E$1:$K$404</definedName>
    <definedName name="_xlnm._FilterDatabase" localSheetId="5" hidden="1">'BLOQUEOS CONFIS'!$A$1:$H$26</definedName>
    <definedName name="_xlnm._FilterDatabase" localSheetId="0" hidden="1">COMPARAR!$A$4:$E$63</definedName>
    <definedName name="_xlnm._FilterDatabase" localSheetId="2" hidden="1">INSUM_1!$A$4:$AG$297</definedName>
    <definedName name="_xlnm._FilterDatabase" localSheetId="4" hidden="1">INSUMO!$A$4:$AH$4</definedName>
    <definedName name="_h35" hidden="1">{#N/A,#N/A,FALSE,"informes"}</definedName>
    <definedName name="_Key1" hidden="1">[4]Resumen!$A$861</definedName>
    <definedName name="_MatInverse_In" localSheetId="4" hidden="1">#REF!</definedName>
    <definedName name="_MatInverse_In" hidden="1">#REF!</definedName>
    <definedName name="_MatInverse_Out" localSheetId="4" hidden="1">#REF!</definedName>
    <definedName name="_MatInverse_Out" hidden="1">#REF!</definedName>
    <definedName name="_Order1" hidden="1">255</definedName>
    <definedName name="_Order2" hidden="1">255</definedName>
    <definedName name="_R" hidden="1">{"INGRESOS DOLARES",#N/A,FALSE,"informes"}</definedName>
    <definedName name="_Regression_Out" localSheetId="4" hidden="1">#REF!</definedName>
    <definedName name="_Regression_Out" hidden="1">#REF!</definedName>
    <definedName name="_Regression_X" localSheetId="4" hidden="1">#REF!</definedName>
    <definedName name="_Regression_X" hidden="1">#REF!</definedName>
    <definedName name="_Regression_Y" localSheetId="4" hidden="1">#REF!</definedName>
    <definedName name="_Regression_Y" hidden="1">#REF!</definedName>
    <definedName name="_Sort" hidden="1">[4]Resumen!$A$861:$C$862</definedName>
    <definedName name="_Table1_Out" localSheetId="4" hidden="1">[5]CARBOCOL!#REF!</definedName>
    <definedName name="_Table1_Out" hidden="1">[5]CARBOCOL!#REF!</definedName>
    <definedName name="_Table2_In2" localSheetId="4" hidden="1">[6]ANUAL1!#REF!</definedName>
    <definedName name="_Table2_In2" hidden="1">[6]ANUAL1!#REF!</definedName>
    <definedName name="_Table2_Out" localSheetId="4" hidden="1">[5]CARBOCOL!#REF!</definedName>
    <definedName name="_Table2_Out" hidden="1">[5]CARBOCOL!#REF!</definedName>
    <definedName name="a" hidden="1">{"'COMPOSICION'!$A$63:$G$72"}</definedName>
    <definedName name="AAA_DOCTOPS" hidden="1">"AAA_SET"</definedName>
    <definedName name="AAA_duser" hidden="1">"OFF"</definedName>
    <definedName name="aaaaa" hidden="1">{"INGRESOS DOLARES",#N/A,FALSE,"informes"}</definedName>
    <definedName name="AAB_Addin5" hidden="1">"AAB_Description for addin 5,Description for addin 5,Description for addin 5,Description for addin 5,Description for addin 5,Description for addin 5"</definedName>
    <definedName name="ACT">[7]MENU!$T$244:$T$244</definedName>
    <definedName name="Actpecuaria"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d" hidden="1">{"empresa",#N/A,FALSE,"xEMPRESA"}</definedName>
    <definedName name="adi.yane" hidden="1">{"epma",#N/A,FALSE,"EPMA"}</definedName>
    <definedName name="ADICIONALCONIMPACTO" hidden="1">{"trimestre",#N/A,FALSE,"TRIMESTRE";"empresa",#N/A,FALSE,"xEMPRESA";"eaab",#N/A,FALSE,"EAAB";"epma",#N/A,FALSE,"EPMA";"emca",#N/A,FALSE,"EMCA"}</definedName>
    <definedName name="adicionalyaneth" hidden="1">{"epma",#N/A,FALSE,"EPMA"}</definedName>
    <definedName name="ae" hidden="1">{"empresa",#N/A,FALSE,"xEMPRESA"}</definedName>
    <definedName name="agrem" hidden="1">{"trimestre",#N/A,FALSE,"TRIMESTRE";"empresa",#N/A,FALSE,"xEMPRESA";"eaab",#N/A,FALSE,"EAAB";"epma",#N/A,FALSE,"EPMA";"emca",#N/A,FALSE,"EMCA"}</definedName>
    <definedName name="ALV" hidden="1">{#N/A,#N/A,FALSE,"informes"}</definedName>
    <definedName name="APLICA_NOAPLICA">[7]MENU!$AM$2:$AM$3</definedName>
    <definedName name="APUESTAS">[7]MENU!$AE$2:$AE$7</definedName>
    <definedName name="_xlnm.Print_Area" localSheetId="7">REPORTE_ENTIDAD!$A$2:$AF$252</definedName>
    <definedName name="ART" hidden="1">{"INGRESOS DOLARES",#N/A,FALSE,"informes"}</definedName>
    <definedName name="as" hidden="1">{"trimestre",#N/A,FALSE,"TRIMESTRE";"empresa",#N/A,FALSE,"xEMPRESA";"eaab",#N/A,FALSE,"EAAB";"epma",#N/A,FALSE,"EPMA";"emca",#N/A,FALSE,"EMCA"}</definedName>
    <definedName name="asd" hidden="1">{"emca",#N/A,FALSE,"EMCA"}</definedName>
    <definedName name="BLPH2" localSheetId="4" hidden="1">[8]EMBI!#REF!</definedName>
    <definedName name="BLPH2" hidden="1">[8]EMBI!#REF!</definedName>
    <definedName name="BLPH3" localSheetId="4" hidden="1">[8]EMBI!#REF!</definedName>
    <definedName name="BLPH3" hidden="1">[8]EMBI!#REF!</definedName>
    <definedName name="bnño4swrlnaplnmfgmn" hidden="1">{#N/A,#N/A,FALSE,"informes"}</definedName>
    <definedName name="BRY" hidden="1">{#N/A,#N/A,FALSE,"informes"}</definedName>
    <definedName name="bsgdkjnbaklde" hidden="1">{"INGRESOS DOLARES",#N/A,FALSE,"informes"}</definedName>
    <definedName name="CAPITULO">[9]MENU!$B$2:$B$13</definedName>
    <definedName name="CATEGORIA_CAPA">[9]MENU!$AN$2:$AN$13</definedName>
    <definedName name="CLASIFICACION_DESEMPEÑO">[9]MENU!$AR$2:$AR$7</definedName>
    <definedName name="composición" hidden="1">{"trimestre",#N/A,FALSE,"TRIMESTRE";"empresa",#N/A,FALSE,"xEMPRESA";"eaab",#N/A,FALSE,"EAAB";"epma",#N/A,FALSE,"EPMA";"emca",#N/A,FALSE,"EMCA"}</definedName>
    <definedName name="COMPROMISO_PND">[9]MENU!$AP$2:$AP$3</definedName>
    <definedName name="CONCENTRACIONESPROPIOS" hidden="1">{"empresa",#N/A,FALSE,"xEMPRESA"}</definedName>
    <definedName name="CONPES">[9]MENU!$AY$2:$AY$26</definedName>
    <definedName name="COPIA" hidden="1">{"PAGOS DOLARES",#N/A,FALSE,"informes"}</definedName>
    <definedName name="CREC_VERDE">[9]MENU!$BA$2:$BA$50</definedName>
    <definedName name="CUA18A" hidden="1">{"trimestre",#N/A,FALSE,"TRIMESTRE";"empresa",#N/A,FALSE,"xEMPRESA";"eaab",#N/A,FALSE,"EAAB";"epma",#N/A,FALSE,"EPMA";"emca",#N/A,FALSE,"EMCA"}</definedName>
    <definedName name="cua18b" hidden="1">{"trimestre",#N/A,FALSE,"TRIMESTRE";"empresa",#N/A,FALSE,"xEMPRESA";"eaab",#N/A,FALSE,"EAAB";"epma",#N/A,FALSE,"EPMA";"emca",#N/A,FALSE,"EMCA"}</definedName>
    <definedName name="CUAJO" hidden="1">{"trimestre",#N/A,FALSE,"TRIMESTRE";"empresa",#N/A,FALSE,"xEMPRESA";"eaab",#N/A,FALSE,"EAAB";"epma",#N/A,FALSE,"EPMA";"emca",#N/A,FALSE,"EMCA"}</definedName>
    <definedName name="Cwvu.ComparEneMar9697." localSheetId="4" hidden="1">'[10]Seguimiento CSF'!#REF!,'[10]Seguimiento CSF'!$A$30:$IV$34,'[10]Seguimiento CSF'!$A$104:$IV$104,'[10]Seguimiento CSF'!#REF!,'[10]Seguimiento CSF'!#REF!,'[10]Seguimiento CSF'!$A$124:$IV$125</definedName>
    <definedName name="Cwvu.ComparEneMar9697." hidden="1">'[10]Seguimiento CSF'!#REF!,'[10]Seguimiento CSF'!$A$30:$IV$34,'[10]Seguimiento CSF'!$A$104:$IV$104,'[10]Seguimiento CSF'!#REF!,'[10]Seguimiento CSF'!#REF!,'[10]Seguimiento CSF'!$A$124:$IV$125</definedName>
    <definedName name="Cwvu.EneFeb." localSheetId="4" hidden="1">'[10]Seguimiento CSF'!#REF!,'[10]Seguimiento CSF'!#REF!</definedName>
    <definedName name="Cwvu.EneFeb." hidden="1">'[10]Seguimiento CSF'!#REF!,'[10]Seguimiento CSF'!#REF!</definedName>
    <definedName name="Cwvu.EneMar." localSheetId="4" hidden="1">'[10]Seguimiento CSF'!#REF!,'[10]Seguimiento CSF'!$A$67:$IV$67,'[10]Seguimiento CSF'!#REF!,'[10]Seguimiento CSF'!#REF!</definedName>
    <definedName name="Cwvu.EneMar." hidden="1">'[10]Seguimiento CSF'!#REF!,'[10]Seguimiento CSF'!$A$67:$IV$67,'[10]Seguimiento CSF'!#REF!,'[10]Seguimiento CSF'!#REF!</definedName>
    <definedName name="Cwvu.Formato._.Corto." localSheetId="4" hidden="1">'[10]Seguimiento CSF'!$A$11:$IV$12,'[10]Seguimiento CSF'!#REF!,'[10]Seguimiento CSF'!$A$45:$IV$46,'[10]Seguimiento CSF'!$A$48:$IV$57,'[10]Seguimiento CSF'!$A$61:$IV$63,'[10]Seguimiento CSF'!$A$65:$IV$66,'[10]Seguimiento CSF'!$A$72:$IV$82,'[10]Seguimiento CSF'!$A$89:$IV$92,'[10]Seguimiento CSF'!$A$114:$IV$116,'[10]Seguimiento CSF'!$A$118:$IV$122,'[10]Seguimiento CSF'!$A$129:$IV$132,'[10]Seguimiento CSF'!$A$134:$IV$135</definedName>
    <definedName name="Cwvu.Formato._.Corto." hidden="1">'[10]Seguimiento CSF'!$A$11:$IV$12,'[10]Seguimiento CSF'!#REF!,'[10]Seguimiento CSF'!$A$45:$IV$46,'[10]Seguimiento CSF'!$A$48:$IV$57,'[10]Seguimiento CSF'!$A$61:$IV$63,'[10]Seguimiento CSF'!$A$65:$IV$66,'[10]Seguimiento CSF'!$A$72:$IV$82,'[10]Seguimiento CSF'!$A$89:$IV$92,'[10]Seguimiento CSF'!$A$114:$IV$116,'[10]Seguimiento CSF'!$A$118:$IV$122,'[10]Seguimiento CSF'!$A$129:$IV$132,'[10]Seguimiento CSF'!$A$134:$IV$135</definedName>
    <definedName name="Cwvu.Formato._.Total." localSheetId="4" hidden="1">'[10]Seguimiento CSF'!#REF!,'[10]Seguimiento CSF'!#REF!,'[10]Seguimiento CSF'!#REF!</definedName>
    <definedName name="Cwvu.Formato._.Total." hidden="1">'[10]Seguimiento CSF'!#REF!,'[10]Seguimiento CSF'!#REF!,'[10]Seguimiento CSF'!#REF!</definedName>
    <definedName name="DD" hidden="1">{"empresa",#N/A,FALSE,"xEMPRESA"}</definedName>
    <definedName name="DDD"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D" hidden="1">{#N/A,#N/A,FALSE,"informes"}</definedName>
    <definedName name="DDT" hidden="1">{"empresa",#N/A,FALSE,"xEMPRESA"}</definedName>
    <definedName name="DEDO"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PENDENCIA">[9]MENU!$AC$2:$AC$20</definedName>
    <definedName name="desapla" hidden="1">{"INGRESOS DOLARES",#N/A,FALSE,"informes"}</definedName>
    <definedName name="df" hidden="1">{"trimestre",#N/A,FALSE,"TRIMESTRE"}</definedName>
    <definedName name="dfd" hidden="1">{"empresa",#N/A,FALSE,"xEMPRESA"}</definedName>
    <definedName name="DIFU" hidden="1">{"INGRESOS DOLARES",#N/A,FALSE,"informes"}</definedName>
    <definedName name="ds"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EDG" hidden="1">{#N/A,#N/A,FALSE,"informes"}</definedName>
    <definedName name="EE" hidden="1">{#N/A,#N/A,FALSE,"informes"}</definedName>
    <definedName name="EEEEE" hidden="1">{#N/A,#N/A,FALSE,"informes"}</definedName>
    <definedName name="ENERO" hidden="1">{#N/A,#N/A,FALSE,"informes"}</definedName>
    <definedName name="ES" hidden="1">{"PAGOS DOLARES",#N/A,FALSE,"informes"}</definedName>
    <definedName name="ESP" hidden="1">{#N/A,#N/A,FALSE,"informes"}</definedName>
    <definedName name="EST">[9]MENU!$I$14:$I$17</definedName>
    <definedName name="ESTRATEGIA_NACIONAL">[9]MENU!$AB$2:$AB$11</definedName>
    <definedName name="ESTRATEGIA_SECTORIAL">[9]MENU!$N$2:$N$17</definedName>
    <definedName name="excedentes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BAWV" hidden="1">{#N/A,#N/A,FALSE,"informes"}</definedName>
    <definedName name="fd" hidden="1">{#N/A,#N/A,FALSE,"informes"}</definedName>
    <definedName name="fdf"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G" hidden="1">{"empresa",#N/A,FALSE,"xEMPRESA"}</definedName>
    <definedName name="fds" hidden="1">{"epma",#N/A,FALSE,"EPMA"}</definedName>
    <definedName name="FER" hidden="1">{#N/A,#N/A,FALSE,"informes"}</definedName>
    <definedName name="FF" hidden="1">{"emca",#N/A,FALSE,"EMCA"}</definedName>
    <definedName name="ffff" hidden="1">{TRUE,TRUE,-2.75,-17.75,483,276.75,FALSE,TRUE,TRUE,TRUE,0,3,15,1,110,11,8,4,TRUE,TRUE,3,TRUE,1,TRUE,75,"Swvu.EneFeb.","ACwvu.EneFeb.",#N/A,FALSE,FALSE,1.24,0.787401575,0.74,0.984251969,1,"","",FALSE,FALSE,FALSE,FALSE,1,#N/A,1,1,#DIV/0!,FALSE,"Rwvu.EneFeb.","Cwvu.EneFeb.",FALSE,FALSE,FALSE,1,300,300,FALSE,FALSE,TRUE,TRUE,TRUE}</definedName>
    <definedName name="FGTR" hidden="1">{"PAGOS DOLARES",#N/A,FALSE,"informes"}</definedName>
    <definedName name="FHKJBEARNKBW" hidden="1">{"INGRESOS DOLARES",#N/A,FALSE,"informes"}</definedName>
    <definedName name="FIN" hidden="1">{#N/A,#N/A,FALSE,"informes"}</definedName>
    <definedName name="fkjrthnk3t" hidden="1">{"PAGOS DOLARES",#N/A,FALSE,"informes"}</definedName>
    <definedName name="fmdñklje" hidden="1">{#N/A,#N/A,FALSE,"informes"}</definedName>
    <definedName name="FOL" hidden="1">{"INGRESOS DOLARES",#N/A,FALSE,"informes"}</definedName>
    <definedName name="FONPETOTAL"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RD" hidden="1">{#N/A,#N/A,FALSE,"informes"}</definedName>
    <definedName name="fs" hidden="1">{"empresa",#N/A,FALSE,"xEMPRESA"}</definedName>
    <definedName name="fuente_financiacion">'[11]Fuente Financiación'!$A$2:$A$22</definedName>
    <definedName name="FUENTE_FINANCIACIÓN">[9]MENU!$Z$2:$Z$34</definedName>
    <definedName name="FUL" hidden="1">{#N/A,#N/A,FALSE,"informes"}</definedName>
    <definedName name="GENERO">[9]MENU!$AJ$2:$AJ$6</definedName>
    <definedName name="gfnmgfxmmfg" hidden="1">{#N/A,#N/A,FALSE,"informes"}</definedName>
    <definedName name="gg" hidden="1">{#N/A,#N/A,FALSE,"informes"}</definedName>
    <definedName name="ghhhhhhhhhhhhhhhhhhhhhhhh" hidden="1">{"PAGOS DOLARES",#N/A,FALSE,"informes"}</definedName>
    <definedName name="GILÑ" hidden="1">{#N/A,#N/A,FALSE,"informes"}</definedName>
    <definedName name="gjhg" hidden="1">{"empresa",#N/A,FALSE,"xEMPRESA"}</definedName>
    <definedName name="gjrtiury6iryrirjyrysyrjyrjstrtjs" hidden="1">{#N/A,#N/A,FALSE,"informes"}</definedName>
    <definedName name="gkljae" hidden="1">{"PAGOS DOLARES",#N/A,FALSE,"informes"}</definedName>
    <definedName name="glkjheanbwBT" hidden="1">{"PAGOS DOLARES",#N/A,FALSE,"informes"}</definedName>
    <definedName name="god" hidden="1">{"INGRESOS DOLARES",#N/A,FALSE,"informes"}</definedName>
    <definedName name="GOL" hidden="1">{"INGRESOS DOLARES",#N/A,FALSE,"informes"}</definedName>
    <definedName name="GOP" hidden="1">{#N/A,#N/A,FALSE,"informes"}</definedName>
    <definedName name="GRUPO_ETNICO">[9]MENU!$AL$2:$AL$9</definedName>
    <definedName name="grupo_poblacional">[9]MENU!$AI$2:$AI$13</definedName>
    <definedName name="gyirxsryyjry" hidden="1">{"INGRESOS DOLARES",#N/A,FALSE,"informes"}</definedName>
    <definedName name="h" hidden="1">{#N/A,#N/A,FALSE,"informes"}</definedName>
    <definedName name="HACER"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dtya547i76riei" hidden="1">{"PAGOS DOLARES",#N/A,FALSE,"informes"}</definedName>
    <definedName name="hfdha" hidden="1">{"INGRESOS DOLARES",#N/A,FALSE,"informes"}</definedName>
    <definedName name="hhh" hidden="1">{"empresa",#N/A,FALSE,"xEMPRESA"}</definedName>
    <definedName name="hhhh"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 hidden="1">{TRUE,TRUE,-2.75,-17.75,483,276.75,FALSE,TRUE,TRUE,TRUE,0,3,15,1,110,11,8,4,TRUE,TRUE,3,TRUE,1,TRUE,75,"Swvu.EneFeb.","ACwvu.EneFeb.",#N/A,FALSE,FALSE,1.24,0.787401575,0.74,0.984251969,1,"","",FALSE,FALSE,FALSE,FALSE,1,#N/A,1,1,#DIV/0!,FALSE,"Rwvu.EneFeb.","Cwvu.EneFeb.",FALSE,FALSE,FALSE,1,300,300,FALSE,FALSE,TRUE,TRUE,TRUE}</definedName>
    <definedName name="HJHJHJHJ"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zr" hidden="1">{#N/A,#N/A,FALSE,"informes"}</definedName>
    <definedName name="hkmzlnmobznozdkgnodzo" hidden="1">{#N/A,#N/A,FALSE,"informes"}</definedName>
    <definedName name="hmj" hidden="1">{#N/A,#N/A,FALSE,"informes"}</definedName>
    <definedName name="HTML_CodePage" hidden="1">1252</definedName>
    <definedName name="HTML_Control" hidden="1">{"'COMPOSICION'!$A$63:$G$72"}</definedName>
    <definedName name="HTML_Description" hidden="1">""</definedName>
    <definedName name="HTML_Email" hidden="1">""</definedName>
    <definedName name="HTML_Header" hidden="1">"COMPOSICION"</definedName>
    <definedName name="HTML_LastUpdate" hidden="1">"2001/09/05"</definedName>
    <definedName name="HTML_LineAfter" hidden="1">FALSE</definedName>
    <definedName name="HTML_LineBefore" hidden="1">FALSE</definedName>
    <definedName name="HTML_Name" hidden="1">"Fabián Acosta"</definedName>
    <definedName name="HTML_OBDlg2" hidden="1">TRUE</definedName>
    <definedName name="HTML_OBDlg4" hidden="1">TRUE</definedName>
    <definedName name="HTML_OS" hidden="1">0</definedName>
    <definedName name="HTML_PathFile" hidden="1">"C:\Fabian\Html\Ver.04-Sep-00\GP.htm"</definedName>
    <definedName name="HTML_Title" hidden="1">"Consolidado"</definedName>
    <definedName name="IAMR" hidden="1">{"PAGOS DOLARES",#N/A,FALSE,"informes"}</definedName>
    <definedName name="IMAR" hidden="1">{"PAGOS DOLARES",#N/A,FALSE,"informes"}</definedName>
    <definedName name="imprimir.oswa" hidden="1">{"epma",#N/A,FALSE,"EPMA"}</definedName>
    <definedName name="impuestos" hidden="1">{TRUE,TRUE,-2.75,-17.75,483,276.75,FALSE,TRUE,TRUE,TRUE,0,3,15,1,110,11,8,4,TRUE,TRUE,3,TRUE,1,TRUE,75,"Swvu.EneFeb.","ACwvu.EneFeb.",#N/A,FALSE,FALSE,1.24,0.787401575,0.74,0.984251969,1,"","",FALSE,FALSE,FALSE,FALSE,1,#N/A,1,1,#DIV/0!,FALSE,"Rwvu.EneFeb.","Cwvu.EneFeb.",FALSE,FALSE,FALSE,1,300,300,FALSE,FALSE,TRUE,TRUE,TRUE}</definedName>
    <definedName name="IS" hidden="1">{#N/A,#N/A,FALSE,"informes"}</definedName>
    <definedName name="IVAN" hidden="1">{"PAGOS DOLARES",#N/A,FALSE,"informes"}</definedName>
    <definedName name="IVG" hidden="1">{"PAGOS DOLARES",#N/A,FALSE,"informes"}</definedName>
    <definedName name="j6yuu" hidden="1">{#N/A,#N/A,FALSE,"informes"}</definedName>
    <definedName name="jasejrj" hidden="1">{"INGRESOS DOLARES",#N/A,FALSE,"informes"}</definedName>
    <definedName name="jbkgjhfhkjih" hidden="1">{#N/A,#N/A,FALSE,"informes"}</definedName>
    <definedName name="jes" hidden="1">{"INGRESOS DOLARES",#N/A,FALSE,"informes"}</definedName>
    <definedName name="jgfz" hidden="1">{"PAGOS DOLARES",#N/A,FALSE,"informes"}</definedName>
    <definedName name="jgjgj" hidden="1">{#N/A,#N/A,FALSE,"informes"}</definedName>
    <definedName name="jhet" hidden="1">{#N/A,#N/A,FALSE,"informes"}</definedName>
    <definedName name="jhtutuyu6iiiiiiiiiiiiiiiiiiiii" hidden="1">{#N/A,#N/A,FALSE,"informes"}</definedName>
    <definedName name="jhxkluxtikys" hidden="1">{"INGRESOS DOLARES",#N/A,FALSE,"informes"}</definedName>
    <definedName name="jik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J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xhklxr7yikyxrjkr" hidden="1">{"PAGOS DOLARES",#N/A,FALSE,"informes"}</definedName>
    <definedName name="jn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reszjz" hidden="1">{#N/A,#N/A,FALSE,"informes"}</definedName>
    <definedName name="jrxsyktuod" hidden="1">{#N/A,#N/A,FALSE,"informes"}</definedName>
    <definedName name="JU" hidden="1">{#N/A,#N/A,FALSE,"informes"}</definedName>
    <definedName name="k.snkm" hidden="1">{"PAGOS DOLARES",#N/A,FALSE,"informes"}</definedName>
    <definedName name="kbijdbgea" hidden="1">{"PAGOS DOLARES",#N/A,FALSE,"informes"}</definedName>
    <definedName name="KBJAENB" hidden="1">{"INGRESOS DOLARES",#N/A,FALSE,"informes"}</definedName>
    <definedName name="KDJNHEANBH" hidden="1">{"INGRESOS DOLARES",#N/A,FALSE,"informes"}</definedName>
    <definedName name="kghs6r4k" hidden="1">{#N/A,#N/A,FALSE,"informes"}</definedName>
    <definedName name="KK" hidden="1">{#N/A,#N/A,FALSE,"informes"}</definedName>
    <definedName name="kky" hidden="1">{#N/A,#N/A,FALSE,"informes"}</definedName>
    <definedName name="KOL" hidden="1">{#N/A,#N/A,FALSE,"informes"}</definedName>
    <definedName name="kryxskrxkl" hidden="1">{#N/A,#N/A,FALSE,"informes"}</definedName>
    <definedName name="lala" hidden="1">{"INGRESOS DOLARES",#N/A,FALSE,"informes"}</definedName>
    <definedName name="LES" hidden="1">{#N/A,#N/A,FALSE,"informes"}</definedName>
    <definedName name="LIN">[9]MENU!$E$2:$E$5</definedName>
    <definedName name="linea_gestion">'[12]Linea de Gestion'!$A$2:$A$60</definedName>
    <definedName name="LIS" hidden="1">{#N/A,#N/A,FALSE,"informes"}</definedName>
    <definedName name="lklm"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rjslkndalñkvnkea" hidden="1">{"INGRESOS DOLARES",#N/A,FALSE,"informes"}</definedName>
    <definedName name="LL" hidden="1">{#N/A,#N/A,FALSE,"informes"}</definedName>
    <definedName name="LO" hidden="1">{"PAGOS DOLARES",#N/A,FALSE,"informes"}</definedName>
    <definedName name="loq"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UI" hidden="1">{#N/A,#N/A,FALSE,"informes"}</definedName>
    <definedName name="LUNA" hidden="1">{"PAGOS DOLARES",#N/A,FALSE,"informes"}</definedName>
    <definedName name="LUZ" hidden="1">{#N/A,#N/A,FALSE,"informes"}</definedName>
    <definedName name="mes">ADMIN!$A$2:$A$13</definedName>
    <definedName name="META_MES" localSheetId="4">[13]MENU!#REF!</definedName>
    <definedName name="META_MES">[13]MENU!#REF!</definedName>
    <definedName name="META_PND">[9]MENU!$AX$2:$AX$33</definedName>
    <definedName name="META_T">[9]MENU!$AW$2:$AW$5</definedName>
    <definedName name="mia" hidden="1">{#N/A,#N/A,FALSE,"informes"}</definedName>
    <definedName name="MMMMMM" hidden="1">{"INGRESOS DOLARES",#N/A,FALSE,"informes"}</definedName>
    <definedName name="MN" hidden="1">{"PAGOS DOLARES",#N/A,FALSE,"informes"}</definedName>
    <definedName name="mr" hidden="1">{TRUE,TRUE,-2.75,-17.75,483,276.75,FALSE,TRUE,TRUE,TRUE,0,3,15,1,110,11,8,4,TRUE,TRUE,3,TRUE,1,TRUE,75,"Swvu.EneFeb.","ACwvu.EneFeb.",#N/A,FALSE,FALSE,1.24,0.787401575,0.74,0.984251969,1,"","",FALSE,FALSE,FALSE,FALSE,1,#N/A,1,1,#DIV/0!,FALSE,"Rwvu.EneFeb.","Cwvu.EneFeb.",FALSE,FALSE,FALSE,1,300,300,FALSE,FALSE,TRUE,TRUE,TRUE}</definedName>
    <definedName name="MUN" localSheetId="4">[9]MENU!$G$6:R0C4</definedName>
    <definedName name="MUN">[9]MENU!$G$6:R0C4</definedName>
    <definedName name="mw" hidden="1">{TRUE,TRUE,-2.75,-17.75,483,276.75,FALSE,TRUE,TRUE,TRUE,0,3,15,1,110,11,8,4,TRUE,TRUE,3,TRUE,1,TRUE,75,"Swvu.EneFeb.","ACwvu.EneFeb.",#N/A,FALSE,FALSE,1.24,0.787401575,0.74,0.984251969,1,"","",FALSE,FALSE,FALSE,FALSE,1,#N/A,1,1,#DIV/0!,FALSE,"Rwvu.EneFeb.","Cwvu.EneFeb.",FALSE,FALSE,FALSE,1,300,300,FALSE,FALSE,TRUE,TRUE,TRUE}</definedName>
    <definedName name="nfoajañañldlfdkfkfgkfggjgjgj" hidden="1">{"PAGOS DOLARES",#N/A,FALSE,"informes"}</definedName>
    <definedName name="njzetzektryk" hidden="1">{"PAGOS DOLARES",#N/A,FALSE,"informes"}</definedName>
    <definedName name="nklfrtmhosdgmlfgpnjrmsnmlrmn" hidden="1">{#N/A,#N/A,FALSE,"informes"}</definedName>
    <definedName name="nmklmeaknkgñlnkkgnmplrsñmjg" hidden="1">{#N/A,#N/A,FALSE,"informes"}</definedName>
    <definedName name="nmltmylnmapemhammonkha" hidden="1">{"PAGOS DOLARES",#N/A,FALSE,"informes"}</definedName>
    <definedName name="noñkrmjeamnmtlnmkbvnsr" hidden="1">{#N/A,#N/A,FALSE,"informes"}</definedName>
    <definedName name="NOS" hidden="1">{"INGRESOS DOLARES",#N/A,FALSE,"informes"}</definedName>
    <definedName name="nsfj" hidden="1">{"PAGOS DOLARES",#N/A,FALSE,"informes"}</definedName>
    <definedName name="NUB" hidden="1">{#N/A,#N/A,FALSE,"informes"}</definedName>
    <definedName name="ÑÑ" hidden="1">{"INGRESOS DOLARES",#N/A,FALSE,"informes"}</definedName>
    <definedName name="OBJ">[9]MENU!$N$39:$N$40</definedName>
    <definedName name="OCDE">[9]MENU!$BD$2:$BD$43</definedName>
    <definedName name="ODS">[9]MENU!$AZ$2:$AZ$31</definedName>
    <definedName name="oìjhioeonmonmea" hidden="1">{#N/A,#N/A,FALSE,"informes"}</definedName>
    <definedName name="OO" hidden="1">{"PAGOS DOLARES",#N/A,FALSE,"informes"}</definedName>
    <definedName name="OO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RTJBJBHKBFNKJD" hidden="1">{"INGRESOS DOLARES",#N/A,FALSE,"informes"}</definedName>
    <definedName name="otra" hidden="1">{"'COMPOSICION'!$A$63:$G$72"}</definedName>
    <definedName name="PACTO_ETNICO">[9]MENU!$BE$2:$BE$38</definedName>
    <definedName name="PACTO_REG">[9]MENU!$BF$2:$BF$18</definedName>
    <definedName name="PENE" hidden="1">{"PAGOS DOLARES",#N/A,FALSE,"informes"}</definedName>
    <definedName name="peso">[12]Peso!$A$2:$A$4</definedName>
    <definedName name="PLAN_DECRETO_612">[13]LISTAS!$AU$2:$AU$14</definedName>
    <definedName name="PLANES_INST">[14]Planes!$A$1:$A$13</definedName>
    <definedName name="PMES01" hidden="1">{#N/A,#N/A,FALSE,"informes"}</definedName>
    <definedName name="PMES2" hidden="1">{"PAGOS DOLARES",#N/A,FALSE,"informes"}</definedName>
    <definedName name="POLITICA_AMBIENTAL">[9]MENU!$AO$2:$AO$15</definedName>
    <definedName name="PONJRYIONJPEKHN" hidden="1">{#N/A,#N/A,FALSE,"informes"}</definedName>
    <definedName name="POST_ACUERDO">[9]MENU!$BC$2:$BC$5</definedName>
    <definedName name="pp" hidden="1">{"INGRESOS DOLARES",#N/A,FALSE,"informes"}</definedName>
    <definedName name="pq" hidden="1">{TRUE,TRUE,-2.75,-17.75,483,276.75,FALSE,TRUE,TRUE,TRUE,0,3,15,1,110,11,8,4,TRUE,TRUE,3,TRUE,1,TRUE,75,"Swvu.EneFeb.","ACwvu.EneFeb.",#N/A,FALSE,FALSE,1.24,0.787401575,0.74,0.984251969,1,"","",FALSE,FALSE,FALSE,FALSE,1,#N/A,1,1,#DIV/0!,FALSE,"Rwvu.EneFeb.","Cwvu.EneFeb.",FALSE,FALSE,FALSE,1,300,300,FALSE,FALSE,TRUE,TRUE,TRUE}</definedName>
    <definedName name="proceso">[12]Proceso!$A$2:$A$20</definedName>
    <definedName name="PROGRAMA">[13]LISTAS!$R$2:$R$47</definedName>
    <definedName name="PTT" hidden="1">{#N/A,#N/A,FALSE,"informes"}</definedName>
    <definedName name="q" hidden="1">{"emca",#N/A,FALSE,"EMCA"}</definedName>
    <definedName name="QEN" hidden="1">{#N/A,#N/A,FALSE,"informes"}</definedName>
    <definedName name="QQ" hidden="1">{#N/A,#N/A,FALSE,"informes"}</definedName>
    <definedName name="que" hidden="1">{"PAGOS DOLARES",#N/A,FALSE,"informes"}</definedName>
    <definedName name="REGION_PND">[9]MENU!$AF$2:$AF$11</definedName>
    <definedName name="RES" hidden="1">{#N/A,#N/A,FALSE,"informes"}</definedName>
    <definedName name="rew" hidden="1">{"emca",#N/A,FALSE,"EMCA"}</definedName>
    <definedName name="REZ" hidden="1">{#N/A,#N/A,FALSE,"informes"}</definedName>
    <definedName name="REZAGOENERO" hidden="1">{"PAGOS DOLARES",#N/A,FALSE,"informes"}</definedName>
    <definedName name="REZAGOMAY" hidden="1">{#N/A,#N/A,FALSE,"informes"}</definedName>
    <definedName name="rhjr" hidden="1">{"INGRESOS DOLARES",#N/A,FALSE,"informes"}</definedName>
    <definedName name="RIC" hidden="1">{#N/A,#N/A,FALSE,"informes"}</definedName>
    <definedName name="rr" hidden="1">{#N/A,#N/A,FALSE,"informes"}</definedName>
    <definedName name="rt" hidden="1">{"emca",#N/A,FALSE,"EMCA"}</definedName>
    <definedName name="Rwvu.ComparEneMar9697." hidden="1">'[10]Seguimiento CSF'!$L$1:$N$65536,'[10]Seguimiento CSF'!$R$1:$BU$65536</definedName>
    <definedName name="Rwvu.EneFeb." hidden="1">'[10]Seguimiento CSF'!$L$1:$N$65536,'[10]Seguimiento CSF'!$Q$1:$AD$65536</definedName>
    <definedName name="Rwvu.Formato._.Corto." hidden="1">'[10]Seguimiento CSF'!$L$1:$N$65536,'[10]Seguimiento CSF'!$R$1:$AD$65536,'[10]Seguimiento CSF'!$AH$1:$AY$65536,'[10]Seguimiento CSF'!$BA$1:$BH$65536,'[10]Seguimiento CSF'!$BJ$1:$BQ$65536,'[10]Seguimiento CSF'!$BS$1:$CF$65536</definedName>
    <definedName name="Rwvu.OPEF._.96." hidden="1">'[10]Resumen OPEF'!$E$1:$J$65536,'[10]Resumen OPEF'!$M$1:$Q$65536</definedName>
    <definedName name="Rwvu.OPEF._.97." localSheetId="4" hidden="1">'[10]Resumen OPEF'!$C$1:$C$65536,'[10]Resumen OPEF'!#REF!,'[10]Resumen OPEF'!$K$1:$Q$65536</definedName>
    <definedName name="Rwvu.OPEF._.97." hidden="1">'[10]Resumen OPEF'!$C$1:$C$65536,'[10]Resumen OPEF'!#REF!,'[10]Resumen OPEF'!$K$1:$Q$65536</definedName>
    <definedName name="S" hidden="1">{"trimestre",#N/A,FALSE,"TRIMESTRE"}</definedName>
    <definedName name="sa" hidden="1">{"trimestre",#N/A,FALSE,"TRIMESTRE"}</definedName>
    <definedName name="san" hidden="1">{#N/A,#N/A,FALSE,"informes"}</definedName>
    <definedName name="sd" hidden="1">{TRUE,TRUE,-2.75,-17.75,483,276.75,FALSE,TRUE,TRUE,TRUE,0,3,15,1,110,11,8,4,TRUE,TRUE,3,TRUE,1,TRUE,75,"Swvu.EneFeb.","ACwvu.EneFeb.",#N/A,FALSE,FALSE,1.24,0.787401575,0.74,0.984251969,1,"","",FALSE,FALSE,FALSE,FALSE,1,#N/A,1,1,#DIV/0!,FALSE,"Rwvu.EneFeb.","Cwvu.EneFeb.",FALSE,FALSE,FALSE,1,300,300,FALSE,FALSE,TRUE,TRUE,TRUE}</definedName>
    <definedName name="sda" hidden="1">{"eaab",#N/A,FALSE,"EAAB"}</definedName>
    <definedName name="SENTENCIAS">[9]MENU!$BB$2:$BB$13</definedName>
    <definedName name="skghafdn" hidden="1">{"PAGOS DOLARES",#N/A,FALSE,"informes"}</definedName>
    <definedName name="SOL" hidden="1">{#N/A,#N/A,FALSE,"informes"}</definedName>
    <definedName name="SS" hidden="1">{"PAGOS DOLARES",#N/A,FALSE,"informes"}</definedName>
    <definedName name="SSDS" hidden="1">{#N/A,#N/A,FALSE,"informes"}</definedName>
    <definedName name="SSSSS" hidden="1">{#N/A,#N/A,FALSE,"informes"}</definedName>
    <definedName name="TIM" hidden="1">{"PAGOS DOLARES",#N/A,FALSE,"informes"}</definedName>
    <definedName name="tony" hidden="1">{#N/A,#N/A,FALSE,"informes"}</definedName>
    <definedName name="TT" hidden="1">{"PAGOS DOLARES",#N/A,FALSE,"informes"}</definedName>
    <definedName name="ttt" hidden="1">{"INGRESOS DOLARES",#N/A,FALSE,"informes"}</definedName>
    <definedName name="TTTT" hidden="1">{#N/A,#N/A,FALSE,"informes"}</definedName>
    <definedName name="tyhjuopiwhsonjjy" hidden="1">{#N/A,#N/A,FALSE,"informes"}</definedName>
    <definedName name="tyt" hidden="1">{TRUE,TRUE,-2.75,-17.75,483,276.75,FALSE,TRUE,TRUE,TRUE,0,3,15,1,110,11,8,4,TRUE,TRUE,3,TRUE,1,TRUE,75,"Swvu.EneFeb.","ACwvu.EneFeb.",#N/A,FALSE,FALSE,1.24,0.787401575,0.74,0.984251969,1,"","",FALSE,FALSE,FALSE,FALSE,1,#N/A,1,1,#DIV/0!,FALSE,"Rwvu.EneFeb.","Cwvu.EneFeb.",FALSE,FALSE,FALSE,1,300,300,FALSE,FALSE,TRUE,TRUE,TRUE}</definedName>
    <definedName name="UN" hidden="1">{#N/A,#N/A,FALSE,"informes"}</definedName>
    <definedName name="unidad_medida">'[15]Unidad de Medida'!$A$2:$A$8</definedName>
    <definedName name="URRA" hidden="1">{"empresa",#N/A,FALSE,"xEMPRESA"}</definedName>
    <definedName name="usrg" hidden="1">{#N/A,#N/A,FALSE,"informes"}</definedName>
    <definedName name="USS"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u" hidden="1">{"PAGOS DOLARES",#N/A,FALSE,"informes"}</definedName>
    <definedName name="uyuy" hidden="1">{"PAGOS DOLARES",#N/A,FALSE,"informes"}</definedName>
    <definedName name="v"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knmryspo" hidden="1">{#N/A,#N/A,FALSE,"informes"}</definedName>
    <definedName name="VKNRSKNLRSJYÑKLNHJ" hidden="1">{"PAGOS DOLARES",#N/A,FALSE,"informes"}</definedName>
    <definedName name="wrn.ACUDEC." hidden="1">{#N/A,#N/A,FALSE,"ACUM-REAL"}</definedName>
    <definedName name="wrn.eaab." hidden="1">{"eaab",#N/A,FALSE,"EAAB"}</definedName>
    <definedName name="wrn.emca." hidden="1">{"emca",#N/A,FALSE,"EMCA"}</definedName>
    <definedName name="wrn.epma." hidden="1">{"epma",#N/A,FALSE,"EPMA"}</definedName>
    <definedName name="wrn.INGRESOS._.DOLARES." hidden="1">{"INGRESOS DOLARES",#N/A,FALSE,"informes"}</definedName>
    <definedName name="wrn.INGRESOS._.PESOS." hidden="1">{#N/A,#N/A,FALSE,"informes"}</definedName>
    <definedName name="wrn.PAGOS._.DOLARES." hidden="1">{"PAGOS DOLARES",#N/A,FALSE,"informes"}</definedName>
    <definedName name="wrn.PAGOS._.PESOS." hidden="1">{#N/A,#N/A,FALSE,"informes"}</definedName>
    <definedName name="wrn.SINDEC." hidden="1">{#N/A,#N/A,FALSE,"PAC-REAL"}</definedName>
    <definedName name="wrn.TODOS." hidden="1">{"trimestre",#N/A,FALSE,"TRIMESTRE";"empresa",#N/A,FALSE,"xEMPRESA";"eaab",#N/A,FALSE,"EAAB";"epma",#N/A,FALSE,"EPMA";"emca",#N/A,FALSE,"EMCA"}</definedName>
    <definedName name="wrn.trimestre." hidden="1">{"trimestre",#N/A,FALSE,"TRIMESTRE"}</definedName>
    <definedName name="wrn.xempresa." hidden="1">{"empresa",#N/A,FALSE,"xEMPRESA"}</definedName>
    <definedName name="wvu.ComparEneMar9697."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EneFeb." hidden="1">{TRUE,TRUE,-2.75,-17.75,483,276.75,FALSE,TRUE,TRUE,TRUE,0,3,15,1,110,11,8,4,TRUE,TRUE,3,TRUE,1,TRUE,75,"Swvu.EneFeb.","ACwvu.EneFeb.",#N/A,FALSE,FALSE,1.24,0.787401575,0.74,0.984251969,1,"","",FALSE,FALSE,FALSE,FALSE,1,#N/A,1,1,#DIV/0!,FALSE,"Rwvu.EneFeb.","Cwvu.EneFeb.",FALSE,FALSE,FALSE,1,300,300,FALSE,FALSE,TRUE,TRUE,TRUE}</definedName>
    <definedName name="wvu.Formato._.Cort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Total."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OPEF._.9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7." hidden="1">{TRUE,TRUE,-2.75,-17.75,483,276.75,FALSE,TRUE,TRUE,TRUE,0,2,#N/A,1,#N/A,6.24489795918367,20,1,FALSE,FALSE,3,TRUE,1,FALSE,75,"Swvu.OPEF._.97.","ACwvu.OPEF._.97.",#N/A,FALSE,FALSE,1.88,0.787401575,0.39,1.56,1,"","",FALSE,FALSE,FALSE,FALSE,1,#N/A,1,1,"=R4C2:R117C9",FALSE,"Rwvu.OPEF._.97.",#N/A,FALSE,FALSE,FALSE,5,300,300,FALSE,FALSE,TRUE,TRUE,TRUE}</definedName>
    <definedName name="WWW" hidden="1">{TRUE,TRUE,-2.75,-17.75,483,276.75,FALSE,TRUE,TRUE,TRUE,0,1,#N/A,4,#N/A,8.57142857142857,19.625,1,FALSE,FALSE,3,TRUE,1,FALSE,75,"Swvu.OPEF._.96.","ACwvu.OPEF._.96.",#N/A,FALSE,FALSE,1.88,0.787401575,0.39,0.6,1,"","",FALSE,FALSE,FALSE,FALSE,1,#N/A,1,1,"=R4C2:R117C13",FALSE,"Rwvu.OPEF._.96.",#N/A,FALSE,FALSE,FALSE,5,300,300,FALSE,FALSE,TRUE,TRUE,TRUE}</definedName>
    <definedName name="x" hidden="1">{"'COMPOSICION'!$A$63:$G$72"}</definedName>
    <definedName name="XIT" hidden="1">{"PAGOS DOLARES",#N/A,FALSE,"informes"}</definedName>
    <definedName name="XXX" hidden="1">{"epma",#N/A,FALSE,"EPMA"}</definedName>
    <definedName name="yjwi4ojonpiyjioha" hidden="1">{#N/A,#N/A,FALSE,"informes"}</definedName>
    <definedName name="YU" hidden="1">{#N/A,#N/A,FALSE,"informes"}</definedName>
    <definedName name="YUR" hidden="1">{"INGRESOS DOLARES",#N/A,FALSE,"informes"}</definedName>
    <definedName name="yuy" hidden="1">{TRUE,TRUE,-2.75,-17.75,483,276.75,FALSE,TRUE,TRUE,TRUE,0,3,15,1,110,11,8,4,TRUE,TRUE,3,TRUE,1,TRUE,75,"Swvu.EneFeb.","ACwvu.EneFeb.",#N/A,FALSE,FALSE,1.24,0.787401575,0.74,0.984251969,1,"","",FALSE,FALSE,FALSE,FALSE,1,#N/A,1,1,#DIV/0!,FALSE,"Rwvu.EneFeb.","Cwvu.EneFeb.",FALSE,FALSE,FALSE,1,300,300,FALSE,FALSE,TRUE,TRUE,TRUE}</definedName>
    <definedName name="Z_91E95AE5_DCC2_11D0_8DF1_00805F2A002D_.wvu.Cols" hidden="1">'[10]Seguimiento CSF'!$L$1:$N$65536,'[10]Seguimiento CSF'!$R$1:$BU$65536</definedName>
    <definedName name="Z_91E95AE6_DCC2_11D0_8DF1_00805F2A002D_.wvu.Cols" hidden="1">'[10]Seguimiento CSF'!$L$1:$N$65536,'[10]Seguimiento CSF'!$Q$1:$AD$65536</definedName>
    <definedName name="Z_91E95AE6_DCC2_11D0_8DF1_00805F2A002D_.wvu.Rows" localSheetId="4" hidden="1">'[10]Seguimiento CSF'!#REF!,'[10]Seguimiento CSF'!#REF!</definedName>
    <definedName name="Z_91E95AE6_DCC2_11D0_8DF1_00805F2A002D_.wvu.Rows" hidden="1">'[10]Seguimiento CSF'!#REF!,'[10]Seguimiento CSF'!#REF!</definedName>
    <definedName name="Z_91E95AE7_DCC2_11D0_8DF1_00805F2A002D_.wvu.Cols" hidden="1">'[10]Resumen MES OPEF'!$C$1:$C$65536,'[10]Resumen MES OPEF'!$N$1:$N$65536,'[10]Resumen MES OPEF'!$Y$1:$Y$65536,'[10]Resumen MES OPEF'!$AL$1:$AL$65536,'[10]Resumen MES OPEF'!$AV$1:$AV$65536,'[10]Resumen MES OPEF'!$BG$1:$BG$65536,'[10]Resumen MES OPEF'!$BR$1:$BR$65536,'[10]Resumen MES OPEF'!$CC$1:$CC$65536</definedName>
    <definedName name="Z_91E95AE8_DCC2_11D0_8DF1_00805F2A002D_.wvu.Cols" hidden="1">'[10]Seguimiento CSF'!$L$1:$N$65536,'[10]Seguimiento CSF'!$R$1:$AD$65536,'[10]Seguimiento CSF'!$AY$1:$AY$65536,'[10]Seguimiento CSF'!$BH$1:$BH$65536,'[10]Seguimiento CSF'!$BQ$1:$BQ$65536</definedName>
    <definedName name="Z_91E95AE9_DCC2_11D0_8DF1_00805F2A002D_.wvu.Cols" hidden="1">'[10]Seguimiento CSF'!$L$1:$N$65536,'[10]Seguimiento CSF'!$R$1:$AD$65536,'[10]Seguimiento CSF'!$AH$1:$AY$65536,'[10]Seguimiento CSF'!$BA$1:$BH$65536,'[10]Seguimiento CSF'!$BJ$1:$BQ$65536,'[10]Seguimiento CSF'!$BS$1:$CF$65536</definedName>
    <definedName name="Z_91E95AEB_DCC2_11D0_8DF1_00805F2A002D_.wvu.Cols" hidden="1">'[10]Resumen OPEF'!$E$1:$J$65536,'[10]Resumen OPEF'!$M$1:$Q$65536</definedName>
    <definedName name="Z_91E95AEC_DCC2_11D0_8DF1_00805F2A002D_.wvu.Cols" hidden="1">'[10]Resumen OPEF'!$C$1:$C$65536,'[10]Resumen OPEF'!$E$1:$E$65536,'[10]Resumen OPEF'!$H$1:$I$65536,'[10]Resumen OPEF'!$K$1:$L$65536,'[10]Resumen OPEF'!$O$1:$O$65536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5" l="1"/>
  <c r="D7" i="5"/>
  <c r="E7" i="5"/>
  <c r="F7" i="5"/>
  <c r="G7" i="5"/>
  <c r="K7" i="5"/>
  <c r="Q7" i="5"/>
  <c r="V7" i="5"/>
  <c r="Z7" i="5"/>
  <c r="AD7" i="5"/>
  <c r="C17" i="5"/>
  <c r="D17" i="5"/>
  <c r="E17" i="5"/>
  <c r="F17" i="5"/>
  <c r="G17" i="5"/>
  <c r="K17" i="5"/>
  <c r="Q17" i="5"/>
  <c r="V17" i="5"/>
  <c r="Z17" i="5"/>
  <c r="AD17" i="5"/>
  <c r="AD18" i="5"/>
  <c r="AD19" i="5"/>
  <c r="Q18" i="5"/>
  <c r="Q19" i="5"/>
  <c r="Q20" i="5"/>
  <c r="Q21" i="5"/>
  <c r="V18" i="5"/>
  <c r="V19" i="5"/>
  <c r="V20" i="5"/>
  <c r="V21" i="5"/>
  <c r="AD38" i="5"/>
  <c r="Z38" i="5"/>
  <c r="V38" i="5"/>
  <c r="Q38" i="5"/>
  <c r="K38" i="5"/>
  <c r="G38" i="5"/>
  <c r="F38" i="5"/>
  <c r="E38" i="5"/>
  <c r="D38" i="5"/>
  <c r="C38" i="5"/>
  <c r="Q3" i="52"/>
  <c r="R3" i="52"/>
  <c r="S3" i="52"/>
  <c r="T3" i="52"/>
  <c r="U3" i="52"/>
  <c r="V3" i="52"/>
  <c r="W3" i="52"/>
  <c r="X3" i="52"/>
  <c r="Y3" i="52"/>
  <c r="Z3" i="52"/>
  <c r="P3" i="52"/>
  <c r="V80" i="5"/>
  <c r="Q80" i="5"/>
  <c r="K80" i="5"/>
  <c r="G80" i="5"/>
  <c r="AD106" i="5"/>
  <c r="Z106" i="5"/>
  <c r="V106" i="5"/>
  <c r="Q106" i="5"/>
  <c r="K106" i="5"/>
  <c r="G106" i="5"/>
  <c r="F106" i="5"/>
  <c r="E106" i="5"/>
  <c r="D106" i="5"/>
  <c r="C106" i="5"/>
  <c r="AD94" i="5"/>
  <c r="Z94" i="5"/>
  <c r="V94" i="5"/>
  <c r="Q94" i="5"/>
  <c r="K94" i="5"/>
  <c r="G94" i="5"/>
  <c r="F94" i="5"/>
  <c r="E94" i="5"/>
  <c r="D94" i="5"/>
  <c r="C94" i="5"/>
  <c r="AD102" i="5"/>
  <c r="Z102" i="5"/>
  <c r="V102" i="5"/>
  <c r="Q102" i="5"/>
  <c r="K102" i="5"/>
  <c r="G102" i="5"/>
  <c r="F102" i="5"/>
  <c r="E102" i="5"/>
  <c r="D102" i="5"/>
  <c r="C102" i="5"/>
  <c r="AD97" i="5"/>
  <c r="Z97" i="5"/>
  <c r="V97" i="5"/>
  <c r="Q97" i="5"/>
  <c r="K97" i="5"/>
  <c r="G97" i="5"/>
  <c r="F97" i="5"/>
  <c r="E97" i="5"/>
  <c r="D97" i="5"/>
  <c r="C97" i="5"/>
  <c r="AD95" i="5"/>
  <c r="Z95" i="5"/>
  <c r="V95" i="5"/>
  <c r="Q95" i="5"/>
  <c r="K95" i="5"/>
  <c r="G95" i="5"/>
  <c r="F95" i="5"/>
  <c r="E95" i="5"/>
  <c r="D95" i="5"/>
  <c r="C95" i="5"/>
  <c r="H17" i="5" l="1"/>
  <c r="H7" i="5"/>
  <c r="AA17" i="5"/>
  <c r="L7" i="5"/>
  <c r="N7" i="5"/>
  <c r="W7" i="5"/>
  <c r="R7" i="5"/>
  <c r="AA7" i="5"/>
  <c r="L17" i="5"/>
  <c r="W17" i="5"/>
  <c r="N17" i="5"/>
  <c r="R17" i="5"/>
  <c r="AA38" i="5"/>
  <c r="H102" i="5"/>
  <c r="W102" i="5" s="1"/>
  <c r="AC97" i="5"/>
  <c r="AE94" i="5"/>
  <c r="AE95" i="5"/>
  <c r="AC106" i="5"/>
  <c r="AC38" i="5"/>
  <c r="AE38" i="5"/>
  <c r="H38" i="5"/>
  <c r="H106" i="5"/>
  <c r="W106" i="5" s="1"/>
  <c r="H95" i="5"/>
  <c r="W95" i="5" s="1"/>
  <c r="H97" i="5"/>
  <c r="W97" i="5" s="1"/>
  <c r="AC95" i="5"/>
  <c r="AE102" i="5"/>
  <c r="AA97" i="5"/>
  <c r="AA106" i="5"/>
  <c r="AC102" i="5"/>
  <c r="AE106" i="5"/>
  <c r="H94" i="5"/>
  <c r="AA94" i="5"/>
  <c r="AC94" i="5"/>
  <c r="AA102" i="5"/>
  <c r="AE97" i="5"/>
  <c r="AA95" i="5"/>
  <c r="L102" i="5" l="1"/>
  <c r="R95" i="5"/>
  <c r="L95" i="5"/>
  <c r="N102" i="5"/>
  <c r="R106" i="5"/>
  <c r="R102" i="5"/>
  <c r="L106" i="5"/>
  <c r="N106" i="5"/>
  <c r="L97" i="5"/>
  <c r="R38" i="5"/>
  <c r="L38" i="5"/>
  <c r="W38" i="5"/>
  <c r="N38" i="5"/>
  <c r="N97" i="5"/>
  <c r="R97" i="5"/>
  <c r="N95" i="5"/>
  <c r="W94" i="5"/>
  <c r="N94" i="5"/>
  <c r="L94" i="5"/>
  <c r="R94" i="5"/>
  <c r="AD80" i="5" l="1"/>
  <c r="Z80" i="5"/>
  <c r="F80" i="5"/>
  <c r="E80" i="5"/>
  <c r="D80" i="5"/>
  <c r="C80" i="5"/>
  <c r="C77" i="5"/>
  <c r="AD40" i="5" l="1"/>
  <c r="AD39" i="5"/>
  <c r="AD37" i="5"/>
  <c r="AD36" i="5"/>
  <c r="R1" i="52" l="1"/>
  <c r="W84" i="7"/>
  <c r="W85" i="7"/>
  <c r="W86" i="7" s="1"/>
  <c r="W87" i="7" s="1"/>
  <c r="AD6" i="5"/>
  <c r="Z6" i="5"/>
  <c r="L116" i="4"/>
  <c r="L115" i="4"/>
  <c r="L114" i="4"/>
  <c r="R2" i="52"/>
  <c r="A4" i="5" l="1"/>
  <c r="C3" i="5"/>
  <c r="H3" i="55" s="1"/>
  <c r="AD286" i="5"/>
  <c r="AD285" i="5"/>
  <c r="AD284" i="5"/>
  <c r="AD283" i="5"/>
  <c r="AD282" i="5"/>
  <c r="AD281" i="5"/>
  <c r="AD280" i="5"/>
  <c r="AD279" i="5"/>
  <c r="AD278" i="5"/>
  <c r="AD277" i="5"/>
  <c r="AD276" i="5"/>
  <c r="AD275" i="5"/>
  <c r="AD274" i="5"/>
  <c r="AD273" i="5"/>
  <c r="AD272" i="5"/>
  <c r="AD271" i="5"/>
  <c r="AD270" i="5"/>
  <c r="AD269" i="5"/>
  <c r="AD268" i="5"/>
  <c r="AD267" i="5"/>
  <c r="AD266" i="5"/>
  <c r="AD265" i="5"/>
  <c r="AD264" i="5"/>
  <c r="AD263" i="5"/>
  <c r="AD262" i="5"/>
  <c r="AD261" i="5"/>
  <c r="AD260" i="5"/>
  <c r="AD259" i="5"/>
  <c r="AD258" i="5"/>
  <c r="AD257" i="5"/>
  <c r="AD256" i="5"/>
  <c r="Z286" i="5"/>
  <c r="Z285" i="5"/>
  <c r="Z284" i="5"/>
  <c r="Z283" i="5"/>
  <c r="Z282" i="5"/>
  <c r="Z281" i="5"/>
  <c r="Z280" i="5"/>
  <c r="Z279" i="5"/>
  <c r="Z278" i="5"/>
  <c r="Z277" i="5"/>
  <c r="Z276" i="5"/>
  <c r="Z275" i="5"/>
  <c r="Z274" i="5"/>
  <c r="Z273" i="5"/>
  <c r="Z272" i="5"/>
  <c r="Z271" i="5"/>
  <c r="Z270" i="5"/>
  <c r="Z269" i="5"/>
  <c r="Z268" i="5"/>
  <c r="Z267" i="5"/>
  <c r="Z266" i="5"/>
  <c r="Z265" i="5"/>
  <c r="Z264" i="5"/>
  <c r="Z263" i="5"/>
  <c r="Z262" i="5"/>
  <c r="Z261" i="5"/>
  <c r="Z260" i="5"/>
  <c r="Z259" i="5"/>
  <c r="Z258" i="5"/>
  <c r="Z257" i="5"/>
  <c r="Z256" i="5"/>
  <c r="V286" i="5"/>
  <c r="V285" i="5"/>
  <c r="V284" i="5"/>
  <c r="V283" i="5"/>
  <c r="V282" i="5"/>
  <c r="V281" i="5"/>
  <c r="V280" i="5"/>
  <c r="V279" i="5"/>
  <c r="V278" i="5"/>
  <c r="V277" i="5"/>
  <c r="V276" i="5"/>
  <c r="V275" i="5"/>
  <c r="V274" i="5"/>
  <c r="V273" i="5"/>
  <c r="V272" i="5"/>
  <c r="V271" i="5"/>
  <c r="V270" i="5"/>
  <c r="V269" i="5"/>
  <c r="V268" i="5"/>
  <c r="V267" i="5"/>
  <c r="V266" i="5"/>
  <c r="V265" i="5"/>
  <c r="V264" i="5"/>
  <c r="V263" i="5"/>
  <c r="V262" i="5"/>
  <c r="V261" i="5"/>
  <c r="V260" i="5"/>
  <c r="V259" i="5"/>
  <c r="V258" i="5"/>
  <c r="V257" i="5"/>
  <c r="V256" i="5"/>
  <c r="Q286" i="5"/>
  <c r="Q285" i="5"/>
  <c r="Q284" i="5"/>
  <c r="Q283" i="5"/>
  <c r="Q282" i="5"/>
  <c r="Q281" i="5"/>
  <c r="Q280" i="5"/>
  <c r="Q279" i="5"/>
  <c r="Q278" i="5"/>
  <c r="Q277" i="5"/>
  <c r="Q276" i="5"/>
  <c r="Q275" i="5"/>
  <c r="Q274" i="5"/>
  <c r="Q273" i="5"/>
  <c r="Q272" i="5"/>
  <c r="Q271" i="5"/>
  <c r="Q270" i="5"/>
  <c r="Q269" i="5"/>
  <c r="Q268" i="5"/>
  <c r="Q267" i="5"/>
  <c r="Q266" i="5"/>
  <c r="Q265" i="5"/>
  <c r="Q264" i="5"/>
  <c r="Q263" i="5"/>
  <c r="Q262" i="5"/>
  <c r="Q261" i="5"/>
  <c r="Q260" i="5"/>
  <c r="Q259" i="5"/>
  <c r="Q258" i="5"/>
  <c r="Q257" i="5"/>
  <c r="Q256" i="5"/>
  <c r="K286" i="5"/>
  <c r="K285" i="5"/>
  <c r="K284" i="5"/>
  <c r="K283" i="5"/>
  <c r="K282" i="5"/>
  <c r="K281" i="5"/>
  <c r="K280" i="5"/>
  <c r="K279" i="5"/>
  <c r="K278" i="5"/>
  <c r="K277" i="5"/>
  <c r="K276" i="5"/>
  <c r="K275" i="5"/>
  <c r="K274" i="5"/>
  <c r="K273" i="5"/>
  <c r="K272" i="5"/>
  <c r="K271" i="5"/>
  <c r="K270" i="5"/>
  <c r="K269" i="5"/>
  <c r="K268" i="5"/>
  <c r="K267" i="5"/>
  <c r="K266" i="5"/>
  <c r="K265" i="5"/>
  <c r="K264" i="5"/>
  <c r="K263" i="5"/>
  <c r="K262" i="5"/>
  <c r="K261" i="5"/>
  <c r="K260" i="5"/>
  <c r="K259" i="5"/>
  <c r="K258" i="5"/>
  <c r="K257" i="5"/>
  <c r="K256" i="5"/>
  <c r="G286" i="5"/>
  <c r="G285" i="5"/>
  <c r="G284" i="5"/>
  <c r="G283" i="5"/>
  <c r="G282" i="5"/>
  <c r="G281" i="5"/>
  <c r="G280" i="5"/>
  <c r="G279" i="5"/>
  <c r="G278" i="5"/>
  <c r="G277" i="5"/>
  <c r="G276" i="5"/>
  <c r="G275" i="5"/>
  <c r="G274" i="5"/>
  <c r="G273" i="5"/>
  <c r="G272" i="5"/>
  <c r="G271" i="5"/>
  <c r="G270" i="5"/>
  <c r="G269" i="5"/>
  <c r="G268" i="5"/>
  <c r="G267" i="5"/>
  <c r="G266" i="5"/>
  <c r="G265" i="5"/>
  <c r="G264" i="5"/>
  <c r="G263" i="5"/>
  <c r="G262" i="5"/>
  <c r="G261" i="5"/>
  <c r="G260" i="5"/>
  <c r="G259" i="5"/>
  <c r="G258" i="5"/>
  <c r="G257" i="5"/>
  <c r="G256" i="5"/>
  <c r="F286" i="5"/>
  <c r="F285" i="5"/>
  <c r="F284" i="5"/>
  <c r="AA284" i="5" s="1"/>
  <c r="F283" i="5"/>
  <c r="F282" i="5"/>
  <c r="F281" i="5"/>
  <c r="F280" i="5"/>
  <c r="F279" i="5"/>
  <c r="AE279" i="5" s="1"/>
  <c r="F278" i="5"/>
  <c r="F277" i="5"/>
  <c r="F276" i="5"/>
  <c r="AA276" i="5" s="1"/>
  <c r="F275" i="5"/>
  <c r="F274" i="5"/>
  <c r="F273" i="5"/>
  <c r="F272" i="5"/>
  <c r="AA272" i="5" s="1"/>
  <c r="F271" i="5"/>
  <c r="F270" i="5"/>
  <c r="AE270" i="5" s="1"/>
  <c r="F269" i="5"/>
  <c r="F268" i="5"/>
  <c r="F267" i="5"/>
  <c r="F266" i="5"/>
  <c r="F265" i="5"/>
  <c r="F264" i="5"/>
  <c r="F263" i="5"/>
  <c r="AE263" i="5" s="1"/>
  <c r="F262" i="5"/>
  <c r="F261" i="5"/>
  <c r="AA261" i="5" s="1"/>
  <c r="F260" i="5"/>
  <c r="AE260" i="5" s="1"/>
  <c r="F259" i="5"/>
  <c r="AE259" i="5" s="1"/>
  <c r="F258" i="5"/>
  <c r="F257" i="5"/>
  <c r="F256"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D286" i="5"/>
  <c r="D285" i="5"/>
  <c r="D284" i="5"/>
  <c r="D283" i="5"/>
  <c r="D282" i="5"/>
  <c r="D281" i="5"/>
  <c r="D280" i="5"/>
  <c r="D279" i="5"/>
  <c r="D278" i="5"/>
  <c r="D277" i="5"/>
  <c r="D276" i="5"/>
  <c r="D275" i="5"/>
  <c r="D274" i="5"/>
  <c r="D273" i="5"/>
  <c r="D272" i="5"/>
  <c r="D271" i="5"/>
  <c r="D270" i="5"/>
  <c r="D269" i="5"/>
  <c r="D268" i="5"/>
  <c r="D267" i="5"/>
  <c r="D266" i="5"/>
  <c r="D265" i="5"/>
  <c r="D264" i="5"/>
  <c r="D263" i="5"/>
  <c r="D262" i="5"/>
  <c r="D261" i="5"/>
  <c r="D260" i="5"/>
  <c r="D259" i="5"/>
  <c r="D258" i="5"/>
  <c r="D257" i="5"/>
  <c r="D256" i="5"/>
  <c r="C286" i="5"/>
  <c r="C285" i="5"/>
  <c r="C284" i="5"/>
  <c r="C283" i="5"/>
  <c r="C282" i="5"/>
  <c r="C281" i="5"/>
  <c r="C280" i="5"/>
  <c r="C279" i="5"/>
  <c r="C278" i="5"/>
  <c r="C277" i="5"/>
  <c r="C276" i="5"/>
  <c r="C275" i="5"/>
  <c r="C274" i="5"/>
  <c r="C273" i="5"/>
  <c r="C272" i="5"/>
  <c r="C271" i="5"/>
  <c r="C270" i="5"/>
  <c r="C269" i="5"/>
  <c r="C268" i="5"/>
  <c r="C267" i="5"/>
  <c r="C266" i="5"/>
  <c r="C265" i="5"/>
  <c r="C264" i="5"/>
  <c r="C263" i="5"/>
  <c r="C262" i="5"/>
  <c r="C261" i="5"/>
  <c r="C260" i="5"/>
  <c r="C259" i="5"/>
  <c r="C258" i="5"/>
  <c r="C257" i="5"/>
  <c r="C256" i="5"/>
  <c r="O255" i="5"/>
  <c r="T255" i="5" s="1"/>
  <c r="AD9" i="5"/>
  <c r="AD82" i="5"/>
  <c r="Z82" i="5"/>
  <c r="V82" i="5"/>
  <c r="M27" i="57" s="1"/>
  <c r="Q82" i="5"/>
  <c r="J27" i="57" s="1"/>
  <c r="K82" i="5"/>
  <c r="V20" i="57" s="1"/>
  <c r="G82" i="5"/>
  <c r="F82" i="5"/>
  <c r="U20" i="57" s="1"/>
  <c r="E82" i="5"/>
  <c r="D82" i="5"/>
  <c r="M25" i="57"/>
  <c r="J25" i="57"/>
  <c r="F25" i="57"/>
  <c r="D25" i="57"/>
  <c r="AD96" i="5"/>
  <c r="Z96" i="5"/>
  <c r="V96" i="5"/>
  <c r="Q96" i="5"/>
  <c r="K96" i="5"/>
  <c r="G96" i="5"/>
  <c r="F96" i="5"/>
  <c r="E96" i="5"/>
  <c r="D96" i="5"/>
  <c r="C96" i="5"/>
  <c r="AD105" i="5"/>
  <c r="Z105" i="5"/>
  <c r="V105" i="5"/>
  <c r="Q105" i="5"/>
  <c r="K105" i="5"/>
  <c r="G105" i="5"/>
  <c r="F105" i="5"/>
  <c r="E105" i="5"/>
  <c r="D105" i="5"/>
  <c r="C105" i="5"/>
  <c r="AD104" i="5"/>
  <c r="Z104" i="5"/>
  <c r="V104" i="5"/>
  <c r="Q104" i="5"/>
  <c r="K104" i="5"/>
  <c r="G104" i="5"/>
  <c r="F104" i="5"/>
  <c r="E104" i="5"/>
  <c r="D104" i="5"/>
  <c r="C104" i="5"/>
  <c r="AD103" i="5"/>
  <c r="Z103" i="5"/>
  <c r="V103" i="5"/>
  <c r="Q103" i="5"/>
  <c r="K103" i="5"/>
  <c r="G103" i="5"/>
  <c r="F103" i="5"/>
  <c r="E103" i="5"/>
  <c r="D103" i="5"/>
  <c r="C103" i="5"/>
  <c r="AD101" i="5"/>
  <c r="Z101" i="5"/>
  <c r="V101" i="5"/>
  <c r="Q101" i="5"/>
  <c r="K101" i="5"/>
  <c r="G101" i="5"/>
  <c r="F101" i="5"/>
  <c r="E101" i="5"/>
  <c r="D101" i="5"/>
  <c r="C101" i="5"/>
  <c r="AD100" i="5"/>
  <c r="Z100" i="5"/>
  <c r="V100" i="5"/>
  <c r="Q100" i="5"/>
  <c r="K100" i="5"/>
  <c r="G100" i="5"/>
  <c r="F100" i="5"/>
  <c r="E100" i="5"/>
  <c r="D100" i="5"/>
  <c r="C100" i="5"/>
  <c r="AD99" i="5"/>
  <c r="Z99" i="5"/>
  <c r="V99" i="5"/>
  <c r="Q99" i="5"/>
  <c r="K99" i="5"/>
  <c r="G99" i="5"/>
  <c r="F99" i="5"/>
  <c r="E99" i="5"/>
  <c r="D99" i="5"/>
  <c r="C99" i="5"/>
  <c r="AD98" i="5"/>
  <c r="Z98" i="5"/>
  <c r="V98" i="5"/>
  <c r="Q98" i="5"/>
  <c r="K98" i="5"/>
  <c r="G98" i="5"/>
  <c r="F98" i="5"/>
  <c r="E98" i="5"/>
  <c r="D98" i="5"/>
  <c r="C98" i="5"/>
  <c r="Z37" i="5"/>
  <c r="Z39" i="5"/>
  <c r="Z40" i="5"/>
  <c r="Z36" i="5"/>
  <c r="Q9" i="5"/>
  <c r="E11" i="55" s="1"/>
  <c r="E9" i="55"/>
  <c r="Z19" i="5"/>
  <c r="Z9" i="5"/>
  <c r="C82" i="5"/>
  <c r="V37" i="5"/>
  <c r="M34" i="57" s="1"/>
  <c r="V39" i="5"/>
  <c r="M35" i="57" s="1"/>
  <c r="V40" i="5"/>
  <c r="M36" i="57" s="1"/>
  <c r="V36" i="5"/>
  <c r="M33" i="57" s="1"/>
  <c r="Q37" i="5"/>
  <c r="J34" i="57" s="1"/>
  <c r="Q39" i="5"/>
  <c r="J35" i="57" s="1"/>
  <c r="Q40" i="5"/>
  <c r="J36" i="57" s="1"/>
  <c r="Q36" i="5"/>
  <c r="J33" i="57" s="1"/>
  <c r="K37" i="5"/>
  <c r="F34" i="57" s="1"/>
  <c r="K39" i="5"/>
  <c r="F35" i="57" s="1"/>
  <c r="K40" i="5"/>
  <c r="V16" i="57" s="1"/>
  <c r="K36" i="5"/>
  <c r="V11" i="57" s="1"/>
  <c r="G37" i="5"/>
  <c r="G39" i="5"/>
  <c r="G40" i="5"/>
  <c r="G36" i="5"/>
  <c r="F36" i="5"/>
  <c r="U11" i="57" s="1"/>
  <c r="F37" i="5"/>
  <c r="D34" i="57" s="1"/>
  <c r="F39" i="5"/>
  <c r="U19" i="57" s="1"/>
  <c r="F40" i="5"/>
  <c r="U16" i="57" s="1"/>
  <c r="E37" i="5"/>
  <c r="E39" i="5"/>
  <c r="E40" i="5"/>
  <c r="E36" i="5"/>
  <c r="D37" i="5"/>
  <c r="D39" i="5"/>
  <c r="D40" i="5"/>
  <c r="D36" i="5"/>
  <c r="K19" i="5"/>
  <c r="G19" i="5"/>
  <c r="F19" i="5"/>
  <c r="E19" i="5"/>
  <c r="D19" i="5"/>
  <c r="C19" i="5"/>
  <c r="K9" i="5"/>
  <c r="D11" i="55" s="1"/>
  <c r="D9" i="55"/>
  <c r="G9" i="5"/>
  <c r="F9" i="5"/>
  <c r="C11" i="55" s="1"/>
  <c r="E9" i="5"/>
  <c r="D9" i="5"/>
  <c r="C9" i="55"/>
  <c r="C9" i="5"/>
  <c r="C40" i="5"/>
  <c r="C39" i="5"/>
  <c r="C37" i="5"/>
  <c r="C36" i="5"/>
  <c r="C21" i="5"/>
  <c r="C20" i="5"/>
  <c r="C18" i="5"/>
  <c r="C16" i="5"/>
  <c r="AD21" i="5"/>
  <c r="Z21" i="5"/>
  <c r="K21" i="5"/>
  <c r="G21" i="5"/>
  <c r="F21" i="5"/>
  <c r="E21" i="5"/>
  <c r="D21" i="5"/>
  <c r="AD20" i="5"/>
  <c r="Z20" i="5"/>
  <c r="K20" i="5"/>
  <c r="G20" i="5"/>
  <c r="F20" i="5"/>
  <c r="E20" i="5"/>
  <c r="D20" i="5"/>
  <c r="Z18" i="5"/>
  <c r="K18" i="5"/>
  <c r="G18" i="5"/>
  <c r="F18" i="5"/>
  <c r="E18" i="5"/>
  <c r="D18" i="5"/>
  <c r="AD16" i="5"/>
  <c r="Z16" i="5"/>
  <c r="V16" i="5"/>
  <c r="Q16" i="5"/>
  <c r="K16" i="5"/>
  <c r="G16" i="5"/>
  <c r="F16" i="5"/>
  <c r="E16" i="5"/>
  <c r="D16" i="5"/>
  <c r="O35" i="5"/>
  <c r="T35" i="5" s="1"/>
  <c r="C222" i="5"/>
  <c r="D222" i="5"/>
  <c r="E222" i="5"/>
  <c r="F222" i="5"/>
  <c r="G222" i="5"/>
  <c r="K222" i="5"/>
  <c r="Q222" i="5"/>
  <c r="V222" i="5"/>
  <c r="Z222" i="5"/>
  <c r="AD222" i="5"/>
  <c r="C152" i="5"/>
  <c r="D152" i="5"/>
  <c r="E152" i="5"/>
  <c r="F152" i="5"/>
  <c r="C13" i="55" s="1"/>
  <c r="G152" i="5"/>
  <c r="K152" i="5"/>
  <c r="D13" i="55" s="1"/>
  <c r="Q152" i="5"/>
  <c r="E13" i="55" s="1"/>
  <c r="V152" i="5"/>
  <c r="Z152" i="5"/>
  <c r="AD152" i="5"/>
  <c r="C187" i="5"/>
  <c r="D187" i="5"/>
  <c r="E187" i="5"/>
  <c r="F187" i="5"/>
  <c r="AE187" i="5" s="1"/>
  <c r="G187" i="5"/>
  <c r="K187" i="5"/>
  <c r="Q187" i="5"/>
  <c r="V187" i="5"/>
  <c r="Z187" i="5"/>
  <c r="AD187" i="5"/>
  <c r="F84" i="5"/>
  <c r="U17" i="57" s="1"/>
  <c r="E84" i="5"/>
  <c r="D84" i="5"/>
  <c r="C84" i="5"/>
  <c r="F72" i="5"/>
  <c r="F143" i="5"/>
  <c r="U9" i="57" s="1"/>
  <c r="G41" i="5" l="1"/>
  <c r="AE278" i="5"/>
  <c r="M37" i="57"/>
  <c r="G25" i="57"/>
  <c r="G34" i="57"/>
  <c r="U25" i="57"/>
  <c r="U24" i="57"/>
  <c r="D29" i="57"/>
  <c r="D35" i="57"/>
  <c r="G35" i="57" s="1"/>
  <c r="V19" i="57"/>
  <c r="D27" i="57"/>
  <c r="K27" i="57" s="1"/>
  <c r="D33" i="57"/>
  <c r="V25" i="57"/>
  <c r="V24" i="57"/>
  <c r="D36" i="57"/>
  <c r="K36" i="57" s="1"/>
  <c r="F27" i="57"/>
  <c r="F33" i="57"/>
  <c r="F36" i="57"/>
  <c r="J37" i="57"/>
  <c r="K25" i="57"/>
  <c r="K34" i="57"/>
  <c r="K14" i="55"/>
  <c r="K18" i="55"/>
  <c r="K22" i="55"/>
  <c r="K26" i="55"/>
  <c r="K30" i="55"/>
  <c r="K34" i="55"/>
  <c r="K38" i="55"/>
  <c r="K42" i="55"/>
  <c r="K10" i="55"/>
  <c r="L8" i="55"/>
  <c r="K24" i="55"/>
  <c r="K12" i="55"/>
  <c r="L16" i="55"/>
  <c r="L36" i="55"/>
  <c r="K17" i="55"/>
  <c r="K33" i="55"/>
  <c r="L6" i="55"/>
  <c r="L21" i="55"/>
  <c r="L37" i="55"/>
  <c r="L14" i="55"/>
  <c r="L18" i="55"/>
  <c r="L22" i="55"/>
  <c r="L26" i="55"/>
  <c r="L30" i="55"/>
  <c r="L34" i="55"/>
  <c r="L38" i="55"/>
  <c r="L42" i="55"/>
  <c r="L10" i="55"/>
  <c r="K8" i="55"/>
  <c r="K28" i="55"/>
  <c r="L28" i="55"/>
  <c r="K13" i="55"/>
  <c r="K29" i="55"/>
  <c r="K41" i="55"/>
  <c r="L29" i="55"/>
  <c r="L41" i="55"/>
  <c r="K15" i="55"/>
  <c r="K19" i="55"/>
  <c r="K23" i="55"/>
  <c r="K27" i="55"/>
  <c r="K31" i="55"/>
  <c r="K35" i="55"/>
  <c r="K39" i="55"/>
  <c r="K43" i="55"/>
  <c r="K11" i="55"/>
  <c r="K16" i="55"/>
  <c r="K32" i="55"/>
  <c r="K40" i="55"/>
  <c r="L24" i="55"/>
  <c r="L40" i="55"/>
  <c r="L12" i="55"/>
  <c r="K25" i="55"/>
  <c r="K9" i="55"/>
  <c r="L25" i="55"/>
  <c r="L9" i="55"/>
  <c r="L15" i="55"/>
  <c r="L19" i="55"/>
  <c r="L23" i="55"/>
  <c r="L27" i="55"/>
  <c r="L31" i="55"/>
  <c r="L35" i="55"/>
  <c r="L39" i="55"/>
  <c r="L43" i="55"/>
  <c r="L11" i="55"/>
  <c r="K20" i="55"/>
  <c r="K36" i="55"/>
  <c r="L13" i="55"/>
  <c r="L20" i="55"/>
  <c r="L32" i="55"/>
  <c r="K21" i="55"/>
  <c r="K37" i="55"/>
  <c r="L17" i="55"/>
  <c r="L33" i="55"/>
  <c r="K6" i="55"/>
  <c r="F9" i="55"/>
  <c r="H9" i="55"/>
  <c r="F13" i="55"/>
  <c r="H13" i="55"/>
  <c r="H11" i="55"/>
  <c r="F11" i="55"/>
  <c r="AE275" i="5"/>
  <c r="AE283" i="5"/>
  <c r="AC258" i="5"/>
  <c r="AE276" i="5"/>
  <c r="H277" i="5"/>
  <c r="N277" i="5" s="1"/>
  <c r="AC282" i="5"/>
  <c r="H258" i="5"/>
  <c r="R258" i="5" s="1"/>
  <c r="H263" i="5"/>
  <c r="R263" i="5" s="1"/>
  <c r="H269" i="5"/>
  <c r="L269" i="5" s="1"/>
  <c r="H268" i="5"/>
  <c r="L268" i="5" s="1"/>
  <c r="H285" i="5"/>
  <c r="W285" i="5" s="1"/>
  <c r="H274" i="5"/>
  <c r="W274" i="5" s="1"/>
  <c r="AA274" i="5"/>
  <c r="H266" i="5"/>
  <c r="W266" i="5" s="1"/>
  <c r="AA269" i="5"/>
  <c r="AC264" i="5"/>
  <c r="H260" i="5"/>
  <c r="R260" i="5" s="1"/>
  <c r="AE284" i="5"/>
  <c r="AE265" i="5"/>
  <c r="AC281" i="5"/>
  <c r="AC256" i="5"/>
  <c r="AC260" i="5"/>
  <c r="H271" i="5"/>
  <c r="N271" i="5" s="1"/>
  <c r="H276" i="5"/>
  <c r="R276" i="5" s="1"/>
  <c r="H284" i="5"/>
  <c r="W284" i="5" s="1"/>
  <c r="AA264" i="5"/>
  <c r="AE268" i="5"/>
  <c r="H281" i="5"/>
  <c r="W281" i="5" s="1"/>
  <c r="AC269" i="5"/>
  <c r="AC277" i="5"/>
  <c r="C287" i="5"/>
  <c r="D287" i="5"/>
  <c r="AE282" i="5"/>
  <c r="Z287" i="5"/>
  <c r="Q287" i="5"/>
  <c r="H279" i="5"/>
  <c r="W279" i="5" s="1"/>
  <c r="AC272" i="5"/>
  <c r="AC280" i="5"/>
  <c r="AC261" i="5"/>
  <c r="AC285" i="5"/>
  <c r="AC273" i="5"/>
  <c r="AE271" i="5"/>
  <c r="AA280" i="5"/>
  <c r="AC259" i="5"/>
  <c r="H273" i="5"/>
  <c r="N273" i="5" s="1"/>
  <c r="AA282" i="5"/>
  <c r="H282" i="5"/>
  <c r="N282" i="5" s="1"/>
  <c r="H265" i="5"/>
  <c r="L265" i="5" s="1"/>
  <c r="AC279" i="5"/>
  <c r="AC263" i="5"/>
  <c r="AC266" i="5"/>
  <c r="AC271" i="5"/>
  <c r="AC274" i="5"/>
  <c r="AC257" i="5"/>
  <c r="AA257" i="5"/>
  <c r="AE257" i="5"/>
  <c r="AA258" i="5"/>
  <c r="AA271" i="5"/>
  <c r="AA267" i="5"/>
  <c r="H267" i="5"/>
  <c r="AC267" i="5"/>
  <c r="AC286" i="5"/>
  <c r="AA286" i="5"/>
  <c r="H286" i="5"/>
  <c r="E287" i="5"/>
  <c r="AA256" i="5"/>
  <c r="H256" i="5"/>
  <c r="F287" i="5"/>
  <c r="G287" i="5"/>
  <c r="AA275" i="5"/>
  <c r="H275" i="5"/>
  <c r="AC275" i="5"/>
  <c r="AA279" i="5"/>
  <c r="AE261" i="5"/>
  <c r="AC268" i="5"/>
  <c r="AA268" i="5"/>
  <c r="AC270" i="5"/>
  <c r="AA270" i="5"/>
  <c r="H270" i="5"/>
  <c r="H257" i="5"/>
  <c r="AE256" i="5"/>
  <c r="AA263" i="5"/>
  <c r="K287" i="5"/>
  <c r="AE267" i="5"/>
  <c r="AC278" i="5"/>
  <c r="AA278" i="5"/>
  <c r="H278" i="5"/>
  <c r="AE286" i="5"/>
  <c r="AA259" i="5"/>
  <c r="H259" i="5"/>
  <c r="AC262" i="5"/>
  <c r="AA262" i="5"/>
  <c r="AE262" i="5"/>
  <c r="AD287" i="5"/>
  <c r="H262" i="5"/>
  <c r="AA265" i="5"/>
  <c r="AC265" i="5"/>
  <c r="AA266" i="5"/>
  <c r="V287" i="5"/>
  <c r="AA260" i="5"/>
  <c r="AA283" i="5"/>
  <c r="H283" i="5"/>
  <c r="AC283" i="5"/>
  <c r="AE273" i="5"/>
  <c r="AA277" i="5"/>
  <c r="AE281" i="5"/>
  <c r="AA285" i="5"/>
  <c r="AE264" i="5"/>
  <c r="AE272" i="5"/>
  <c r="AE280" i="5"/>
  <c r="AA273" i="5"/>
  <c r="AE277" i="5"/>
  <c r="AA281" i="5"/>
  <c r="AE285" i="5"/>
  <c r="AE258" i="5"/>
  <c r="H264" i="5"/>
  <c r="AE266" i="5"/>
  <c r="H272" i="5"/>
  <c r="AE274" i="5"/>
  <c r="AC276" i="5"/>
  <c r="H280" i="5"/>
  <c r="AC284" i="5"/>
  <c r="AE269" i="5"/>
  <c r="H261" i="5"/>
  <c r="C107" i="5"/>
  <c r="H96" i="5"/>
  <c r="W96" i="5" s="1"/>
  <c r="AE96" i="5"/>
  <c r="AA96" i="5"/>
  <c r="AC96" i="5"/>
  <c r="AC40" i="5"/>
  <c r="AE37" i="5"/>
  <c r="AE39" i="5"/>
  <c r="AC37" i="5"/>
  <c r="D41" i="5"/>
  <c r="AD41" i="5"/>
  <c r="V41" i="5"/>
  <c r="H37" i="5"/>
  <c r="W37" i="5" s="1"/>
  <c r="K41" i="5"/>
  <c r="C41" i="5"/>
  <c r="F41" i="5"/>
  <c r="Q41" i="5"/>
  <c r="E41" i="5"/>
  <c r="Z41" i="5"/>
  <c r="AA37" i="5"/>
  <c r="H39" i="5"/>
  <c r="AE40" i="5"/>
  <c r="AA39" i="5"/>
  <c r="H40" i="5"/>
  <c r="AA36" i="5"/>
  <c r="AC39" i="5"/>
  <c r="AA40" i="5"/>
  <c r="AE36" i="5"/>
  <c r="H36" i="5"/>
  <c r="AC36" i="5"/>
  <c r="AE152" i="5"/>
  <c r="AA222" i="5"/>
  <c r="AE222" i="5"/>
  <c r="AA152" i="5"/>
  <c r="AC152" i="5"/>
  <c r="H222" i="5"/>
  <c r="W222" i="5" s="1"/>
  <c r="H152" i="5"/>
  <c r="L152" i="5" s="1"/>
  <c r="AC187" i="5"/>
  <c r="AA187" i="5"/>
  <c r="H187" i="5"/>
  <c r="Q148" i="5"/>
  <c r="Q122" i="5"/>
  <c r="Q111" i="5"/>
  <c r="Q91" i="5"/>
  <c r="Q46" i="5"/>
  <c r="H41" i="5" l="1"/>
  <c r="I9" i="55"/>
  <c r="G36" i="57"/>
  <c r="G11" i="55"/>
  <c r="D37" i="57"/>
  <c r="K37" i="57" s="1"/>
  <c r="K33" i="57"/>
  <c r="G33" i="57"/>
  <c r="G27" i="57"/>
  <c r="W19" i="57"/>
  <c r="X19" i="57" s="1"/>
  <c r="H35" i="57"/>
  <c r="H36" i="57"/>
  <c r="W16" i="57"/>
  <c r="X16" i="57" s="1"/>
  <c r="H34" i="57"/>
  <c r="W24" i="57"/>
  <c r="X24" i="57" s="1"/>
  <c r="G13" i="55"/>
  <c r="F37" i="57"/>
  <c r="K35" i="57"/>
  <c r="W11" i="57"/>
  <c r="X11" i="57" s="1"/>
  <c r="H33" i="57"/>
  <c r="G9" i="55"/>
  <c r="I11" i="55"/>
  <c r="I13" i="55"/>
  <c r="W263" i="5"/>
  <c r="W277" i="5"/>
  <c r="L277" i="5"/>
  <c r="R269" i="5"/>
  <c r="N269" i="5"/>
  <c r="L263" i="5"/>
  <c r="N263" i="5"/>
  <c r="N258" i="5"/>
  <c r="R277" i="5"/>
  <c r="W276" i="5"/>
  <c r="N268" i="5"/>
  <c r="W268" i="5"/>
  <c r="R268" i="5"/>
  <c r="W269" i="5"/>
  <c r="L258" i="5"/>
  <c r="W258" i="5"/>
  <c r="W260" i="5"/>
  <c r="R285" i="5"/>
  <c r="N285" i="5"/>
  <c r="L274" i="5"/>
  <c r="L285" i="5"/>
  <c r="N274" i="5"/>
  <c r="AA287" i="5"/>
  <c r="R273" i="5"/>
  <c r="R274" i="5"/>
  <c r="R266" i="5"/>
  <c r="L266" i="5"/>
  <c r="N281" i="5"/>
  <c r="N266" i="5"/>
  <c r="R281" i="5"/>
  <c r="R271" i="5"/>
  <c r="L271" i="5"/>
  <c r="W271" i="5"/>
  <c r="L281" i="5"/>
  <c r="L260" i="5"/>
  <c r="L276" i="5"/>
  <c r="N260" i="5"/>
  <c r="N276" i="5"/>
  <c r="N279" i="5"/>
  <c r="W265" i="5"/>
  <c r="L282" i="5"/>
  <c r="R284" i="5"/>
  <c r="L284" i="5"/>
  <c r="N284" i="5"/>
  <c r="R279" i="5"/>
  <c r="L279" i="5"/>
  <c r="R265" i="5"/>
  <c r="W273" i="5"/>
  <c r="AC287" i="5"/>
  <c r="W282" i="5"/>
  <c r="R282" i="5"/>
  <c r="L273" i="5"/>
  <c r="N265" i="5"/>
  <c r="R272" i="5"/>
  <c r="W272" i="5"/>
  <c r="N272" i="5"/>
  <c r="L272" i="5"/>
  <c r="R256" i="5"/>
  <c r="W256" i="5"/>
  <c r="H287" i="5"/>
  <c r="L256" i="5"/>
  <c r="N256" i="5"/>
  <c r="W261" i="5"/>
  <c r="N261" i="5"/>
  <c r="L261" i="5"/>
  <c r="R261" i="5"/>
  <c r="L278" i="5"/>
  <c r="R278" i="5"/>
  <c r="N278" i="5"/>
  <c r="W278" i="5"/>
  <c r="L257" i="5"/>
  <c r="R257" i="5"/>
  <c r="N257" i="5"/>
  <c r="W257" i="5"/>
  <c r="R283" i="5"/>
  <c r="W283" i="5"/>
  <c r="L283" i="5"/>
  <c r="N283" i="5"/>
  <c r="R259" i="5"/>
  <c r="W259" i="5"/>
  <c r="L259" i="5"/>
  <c r="N259" i="5"/>
  <c r="R275" i="5"/>
  <c r="W275" i="5"/>
  <c r="L275" i="5"/>
  <c r="N275" i="5"/>
  <c r="L286" i="5"/>
  <c r="R286" i="5"/>
  <c r="N286" i="5"/>
  <c r="W286" i="5"/>
  <c r="L262" i="5"/>
  <c r="R262" i="5"/>
  <c r="W262" i="5"/>
  <c r="N262" i="5"/>
  <c r="R264" i="5"/>
  <c r="W264" i="5"/>
  <c r="N264" i="5"/>
  <c r="L264" i="5"/>
  <c r="AE287" i="5"/>
  <c r="R267" i="5"/>
  <c r="W267" i="5"/>
  <c r="L267" i="5"/>
  <c r="N267" i="5"/>
  <c r="L270" i="5"/>
  <c r="R270" i="5"/>
  <c r="W270" i="5"/>
  <c r="N270" i="5"/>
  <c r="R280" i="5"/>
  <c r="W280" i="5"/>
  <c r="N280" i="5"/>
  <c r="L280" i="5"/>
  <c r="R96" i="5"/>
  <c r="N96" i="5"/>
  <c r="L96" i="5"/>
  <c r="N37" i="5"/>
  <c r="R37" i="5"/>
  <c r="AE41" i="5"/>
  <c r="L37" i="5"/>
  <c r="AA41" i="5"/>
  <c r="L40" i="5"/>
  <c r="R40" i="5"/>
  <c r="W40" i="5"/>
  <c r="N40" i="5"/>
  <c r="N39" i="5"/>
  <c r="L39" i="5"/>
  <c r="R39" i="5"/>
  <c r="W39" i="5"/>
  <c r="AC41" i="5"/>
  <c r="L36" i="5"/>
  <c r="W36" i="5"/>
  <c r="N36" i="5"/>
  <c r="R36" i="5"/>
  <c r="R152" i="5"/>
  <c r="N222" i="5"/>
  <c r="W152" i="5"/>
  <c r="N152" i="5"/>
  <c r="L222" i="5"/>
  <c r="R222" i="5"/>
  <c r="L187" i="5"/>
  <c r="W187" i="5"/>
  <c r="R187" i="5"/>
  <c r="N187" i="5"/>
  <c r="K81" i="5"/>
  <c r="F78" i="5"/>
  <c r="O5" i="5"/>
  <c r="P6" i="5"/>
  <c r="O15" i="5"/>
  <c r="O25" i="5"/>
  <c r="O48" i="5"/>
  <c r="O62" i="5"/>
  <c r="O76" i="5"/>
  <c r="O93" i="5"/>
  <c r="O113" i="5"/>
  <c r="O124" i="5"/>
  <c r="P125" i="5"/>
  <c r="O133" i="5"/>
  <c r="O139" i="5"/>
  <c r="O150" i="5"/>
  <c r="O185" i="5"/>
  <c r="O220" i="5"/>
  <c r="J6" i="5"/>
  <c r="P17" i="5" l="1"/>
  <c r="P7" i="5"/>
  <c r="J17" i="5"/>
  <c r="J7" i="5"/>
  <c r="J53" i="5"/>
  <c r="J38" i="5"/>
  <c r="P38" i="5"/>
  <c r="P53" i="5"/>
  <c r="J102" i="5"/>
  <c r="J94" i="5"/>
  <c r="J97" i="5"/>
  <c r="J95" i="5"/>
  <c r="J106" i="5"/>
  <c r="P95" i="5"/>
  <c r="P94" i="5"/>
  <c r="P106" i="5"/>
  <c r="P102" i="5"/>
  <c r="P97" i="5"/>
  <c r="G37" i="57"/>
  <c r="H37" i="57"/>
  <c r="D23" i="57"/>
  <c r="U3" i="57"/>
  <c r="F26" i="57"/>
  <c r="V14" i="57"/>
  <c r="P256" i="5"/>
  <c r="S256" i="5" s="1"/>
  <c r="P284" i="5"/>
  <c r="P282" i="5"/>
  <c r="S282" i="5" s="1"/>
  <c r="P277" i="5"/>
  <c r="P271" i="5"/>
  <c r="P269" i="5"/>
  <c r="P267" i="5"/>
  <c r="S267" i="5" s="1"/>
  <c r="P262" i="5"/>
  <c r="S262" i="5" s="1"/>
  <c r="P260" i="5"/>
  <c r="P258" i="5"/>
  <c r="P286" i="5"/>
  <c r="S286" i="5" s="1"/>
  <c r="P279" i="5"/>
  <c r="S279" i="5" s="1"/>
  <c r="P273" i="5"/>
  <c r="P264" i="5"/>
  <c r="P275" i="5"/>
  <c r="P281" i="5"/>
  <c r="P266" i="5"/>
  <c r="P285" i="5"/>
  <c r="P272" i="5"/>
  <c r="S272" i="5" s="1"/>
  <c r="P270" i="5"/>
  <c r="S270" i="5" s="1"/>
  <c r="P268" i="5"/>
  <c r="P263" i="5"/>
  <c r="P261" i="5"/>
  <c r="S261" i="5" s="1"/>
  <c r="P259" i="5"/>
  <c r="P257" i="5"/>
  <c r="P283" i="5"/>
  <c r="P278" i="5"/>
  <c r="S278" i="5" s="1"/>
  <c r="P276" i="5"/>
  <c r="P287" i="5"/>
  <c r="AF287" i="5" s="1"/>
  <c r="P280" i="5"/>
  <c r="S280" i="5" s="1"/>
  <c r="P274" i="5"/>
  <c r="P265" i="5"/>
  <c r="S265" i="5" s="1"/>
  <c r="J287" i="5"/>
  <c r="AB287" i="5" s="1"/>
  <c r="J280" i="5"/>
  <c r="J274" i="5"/>
  <c r="J265" i="5"/>
  <c r="J256" i="5"/>
  <c r="J284" i="5"/>
  <c r="M284" i="5" s="1"/>
  <c r="J282" i="5"/>
  <c r="J277" i="5"/>
  <c r="J271" i="5"/>
  <c r="J269" i="5"/>
  <c r="J267" i="5"/>
  <c r="M267" i="5" s="1"/>
  <c r="J262" i="5"/>
  <c r="M262" i="5" s="1"/>
  <c r="J260" i="5"/>
  <c r="J258" i="5"/>
  <c r="J286" i="5"/>
  <c r="J279" i="5"/>
  <c r="J273" i="5"/>
  <c r="M273" i="5" s="1"/>
  <c r="J264" i="5"/>
  <c r="M264" i="5" s="1"/>
  <c r="J275" i="5"/>
  <c r="M275" i="5" s="1"/>
  <c r="J281" i="5"/>
  <c r="J266" i="5"/>
  <c r="J285" i="5"/>
  <c r="J272" i="5"/>
  <c r="M272" i="5" s="1"/>
  <c r="J270" i="5"/>
  <c r="J268" i="5"/>
  <c r="J263" i="5"/>
  <c r="J261" i="5"/>
  <c r="M261" i="5" s="1"/>
  <c r="J259" i="5"/>
  <c r="M259" i="5" s="1"/>
  <c r="J257" i="5"/>
  <c r="M257" i="5" s="1"/>
  <c r="J283" i="5"/>
  <c r="M283" i="5" s="1"/>
  <c r="J276" i="5"/>
  <c r="J278" i="5"/>
  <c r="M278" i="5" s="1"/>
  <c r="R287" i="5"/>
  <c r="N287" i="5"/>
  <c r="W287" i="5"/>
  <c r="L287" i="5"/>
  <c r="P96" i="5"/>
  <c r="J96" i="5"/>
  <c r="M96" i="5" s="1"/>
  <c r="P41" i="5"/>
  <c r="P40" i="5"/>
  <c r="P39" i="5"/>
  <c r="P37" i="5"/>
  <c r="AI37" i="5" s="1"/>
  <c r="I34" i="57" s="1"/>
  <c r="P36" i="5"/>
  <c r="AI36" i="5" s="1"/>
  <c r="I33" i="57" s="1"/>
  <c r="J222" i="5"/>
  <c r="M222" i="5" s="1"/>
  <c r="J37" i="5"/>
  <c r="AH37" i="5" s="1"/>
  <c r="E34" i="57" s="1"/>
  <c r="J36" i="5"/>
  <c r="AH36" i="5" s="1"/>
  <c r="E33" i="57" s="1"/>
  <c r="J41" i="5"/>
  <c r="J40" i="5"/>
  <c r="AH40" i="5" s="1"/>
  <c r="E36" i="57" s="1"/>
  <c r="J39" i="5"/>
  <c r="N41" i="5"/>
  <c r="R41" i="5"/>
  <c r="W41" i="5"/>
  <c r="L41" i="5"/>
  <c r="P152" i="5"/>
  <c r="S152" i="5" s="1"/>
  <c r="P222" i="5"/>
  <c r="S222" i="5" s="1"/>
  <c r="J187" i="5"/>
  <c r="AB187" i="5" s="1"/>
  <c r="J152" i="5"/>
  <c r="AB152" i="5" s="1"/>
  <c r="P16" i="5"/>
  <c r="P187" i="5"/>
  <c r="P205" i="5"/>
  <c r="P196" i="5"/>
  <c r="P170" i="5"/>
  <c r="P245" i="5"/>
  <c r="P158" i="5"/>
  <c r="P236" i="5"/>
  <c r="P235" i="5"/>
  <c r="P227" i="5"/>
  <c r="P215" i="5"/>
  <c r="P244" i="5"/>
  <c r="P226" i="5"/>
  <c r="P213" i="5"/>
  <c r="P204" i="5"/>
  <c r="P195" i="5"/>
  <c r="P182" i="5"/>
  <c r="P168" i="5"/>
  <c r="P156" i="5"/>
  <c r="P252" i="5"/>
  <c r="P243" i="5"/>
  <c r="P224" i="5"/>
  <c r="P212" i="5"/>
  <c r="P194" i="5"/>
  <c r="P167" i="5"/>
  <c r="P247" i="5"/>
  <c r="P238" i="5"/>
  <c r="P229" i="5"/>
  <c r="P217" i="5"/>
  <c r="P208" i="5"/>
  <c r="P199" i="5"/>
  <c r="P188" i="5"/>
  <c r="P174" i="5"/>
  <c r="P160" i="5"/>
  <c r="P136" i="5"/>
  <c r="P246" i="5"/>
  <c r="P237" i="5"/>
  <c r="P228" i="5"/>
  <c r="P216" i="5"/>
  <c r="P207" i="5"/>
  <c r="P197" i="5"/>
  <c r="P186" i="5"/>
  <c r="P172" i="5"/>
  <c r="P159" i="5"/>
  <c r="P234" i="5"/>
  <c r="P203" i="5"/>
  <c r="P180" i="5"/>
  <c r="P151" i="5"/>
  <c r="P251" i="5"/>
  <c r="P242" i="5"/>
  <c r="P232" i="5"/>
  <c r="P223" i="5"/>
  <c r="P211" i="5"/>
  <c r="P202" i="5"/>
  <c r="P193" i="5"/>
  <c r="P178" i="5"/>
  <c r="P166" i="5"/>
  <c r="P250" i="5"/>
  <c r="P240" i="5"/>
  <c r="P231" i="5"/>
  <c r="P221" i="5"/>
  <c r="P210" i="5"/>
  <c r="P201" i="5"/>
  <c r="P191" i="5"/>
  <c r="P176" i="5"/>
  <c r="P164" i="5"/>
  <c r="P144" i="5"/>
  <c r="P248" i="5"/>
  <c r="P239" i="5"/>
  <c r="P230" i="5"/>
  <c r="P209" i="5"/>
  <c r="P200" i="5"/>
  <c r="P189" i="5"/>
  <c r="P175" i="5"/>
  <c r="P162" i="5"/>
  <c r="P135" i="5"/>
  <c r="P154" i="5"/>
  <c r="P130" i="5"/>
  <c r="P140" i="5"/>
  <c r="P142" i="5"/>
  <c r="P117" i="5"/>
  <c r="P114" i="5"/>
  <c r="P99" i="5"/>
  <c r="P55" i="5"/>
  <c r="P134" i="5"/>
  <c r="P103" i="5"/>
  <c r="P127" i="5"/>
  <c r="P26" i="5"/>
  <c r="P87" i="5"/>
  <c r="P83" i="5"/>
  <c r="P70" i="5"/>
  <c r="P80" i="5"/>
  <c r="P107" i="5"/>
  <c r="P68" i="5"/>
  <c r="P177" i="5"/>
  <c r="P169" i="5"/>
  <c r="P161" i="5"/>
  <c r="P153" i="5"/>
  <c r="P126" i="5"/>
  <c r="P79" i="5"/>
  <c r="P65" i="5"/>
  <c r="P31" i="5"/>
  <c r="P104" i="5"/>
  <c r="P77" i="5"/>
  <c r="P64" i="5"/>
  <c r="P27" i="5"/>
  <c r="P101" i="5"/>
  <c r="P86" i="5"/>
  <c r="P73" i="5"/>
  <c r="P58" i="5"/>
  <c r="P192" i="5"/>
  <c r="P181" i="5"/>
  <c r="P173" i="5"/>
  <c r="P165" i="5"/>
  <c r="P157" i="5"/>
  <c r="P143" i="5"/>
  <c r="P116" i="5"/>
  <c r="P100" i="5"/>
  <c r="P85" i="5"/>
  <c r="P72" i="5"/>
  <c r="P57" i="5"/>
  <c r="P249" i="5"/>
  <c r="P241" i="5"/>
  <c r="P233" i="5"/>
  <c r="P225" i="5"/>
  <c r="P214" i="5"/>
  <c r="P206" i="5"/>
  <c r="P198" i="5"/>
  <c r="P190" i="5"/>
  <c r="P179" i="5"/>
  <c r="P171" i="5"/>
  <c r="P163" i="5"/>
  <c r="P155" i="5"/>
  <c r="P141" i="5"/>
  <c r="P129" i="5"/>
  <c r="P98" i="5"/>
  <c r="P82" i="5"/>
  <c r="P69" i="5"/>
  <c r="P50" i="5"/>
  <c r="P54" i="5"/>
  <c r="P49" i="5"/>
  <c r="P78" i="5"/>
  <c r="AI78" i="5" s="1"/>
  <c r="I23" i="57" s="1"/>
  <c r="P67" i="5"/>
  <c r="P51" i="5"/>
  <c r="P21" i="5"/>
  <c r="P18" i="5"/>
  <c r="P59" i="5"/>
  <c r="P28" i="5"/>
  <c r="P128" i="5"/>
  <c r="P115" i="5"/>
  <c r="P81" i="5"/>
  <c r="P71" i="5"/>
  <c r="P63" i="5"/>
  <c r="P30" i="5"/>
  <c r="P20" i="5"/>
  <c r="P52" i="5"/>
  <c r="P29" i="5"/>
  <c r="P19" i="5"/>
  <c r="P118" i="5"/>
  <c r="P105" i="5"/>
  <c r="P84" i="5"/>
  <c r="P66" i="5"/>
  <c r="P56" i="5"/>
  <c r="P32" i="5"/>
  <c r="P22" i="5"/>
  <c r="P12" i="5"/>
  <c r="P10" i="5"/>
  <c r="P9" i="5"/>
  <c r="P8" i="5"/>
  <c r="P11" i="5"/>
  <c r="T48" i="5"/>
  <c r="I7" i="5" l="1"/>
  <c r="M7" i="5"/>
  <c r="I17" i="5"/>
  <c r="M17" i="5"/>
  <c r="O7" i="5"/>
  <c r="S7" i="5"/>
  <c r="O17" i="5"/>
  <c r="S17" i="5"/>
  <c r="AI38" i="5"/>
  <c r="AF38" i="5"/>
  <c r="O38" i="5"/>
  <c r="S38" i="5"/>
  <c r="AH38" i="5"/>
  <c r="AB38" i="5"/>
  <c r="I38" i="5"/>
  <c r="M38" i="5"/>
  <c r="O106" i="5"/>
  <c r="AF106" i="5"/>
  <c r="S106" i="5"/>
  <c r="AF94" i="5"/>
  <c r="O94" i="5"/>
  <c r="S94" i="5"/>
  <c r="I106" i="5"/>
  <c r="AB106" i="5"/>
  <c r="M106" i="5"/>
  <c r="I95" i="5"/>
  <c r="M95" i="5"/>
  <c r="AB95" i="5"/>
  <c r="O95" i="5"/>
  <c r="AF95" i="5"/>
  <c r="S95" i="5"/>
  <c r="I97" i="5"/>
  <c r="AB97" i="5"/>
  <c r="M97" i="5"/>
  <c r="O97" i="5"/>
  <c r="AF97" i="5"/>
  <c r="S97" i="5"/>
  <c r="AB94" i="5"/>
  <c r="I94" i="5"/>
  <c r="M94" i="5"/>
  <c r="O102" i="5"/>
  <c r="AF102" i="5"/>
  <c r="S102" i="5"/>
  <c r="I102" i="5"/>
  <c r="M102" i="5"/>
  <c r="AB102" i="5"/>
  <c r="I287" i="5"/>
  <c r="M287" i="5"/>
  <c r="O287" i="5"/>
  <c r="I263" i="5"/>
  <c r="M263" i="5"/>
  <c r="AB263" i="5"/>
  <c r="I264" i="5"/>
  <c r="AB264" i="5"/>
  <c r="AB269" i="5"/>
  <c r="I269" i="5"/>
  <c r="M269" i="5"/>
  <c r="AB280" i="5"/>
  <c r="I280" i="5"/>
  <c r="AF283" i="5"/>
  <c r="O283" i="5"/>
  <c r="O285" i="5"/>
  <c r="AF285" i="5"/>
  <c r="S285" i="5"/>
  <c r="O258" i="5"/>
  <c r="S258" i="5"/>
  <c r="AF258" i="5"/>
  <c r="O284" i="5"/>
  <c r="AF284" i="5"/>
  <c r="I268" i="5"/>
  <c r="AB268" i="5"/>
  <c r="M268" i="5"/>
  <c r="I273" i="5"/>
  <c r="AB273" i="5"/>
  <c r="I271" i="5"/>
  <c r="AB271" i="5"/>
  <c r="M271" i="5"/>
  <c r="O257" i="5"/>
  <c r="AF257" i="5"/>
  <c r="O266" i="5"/>
  <c r="AF266" i="5"/>
  <c r="S266" i="5"/>
  <c r="AF260" i="5"/>
  <c r="O260" i="5"/>
  <c r="S260" i="5"/>
  <c r="AF256" i="5"/>
  <c r="O256" i="5"/>
  <c r="S287" i="5"/>
  <c r="S284" i="5"/>
  <c r="S257" i="5"/>
  <c r="AB278" i="5"/>
  <c r="I278" i="5"/>
  <c r="I270" i="5"/>
  <c r="AB270" i="5"/>
  <c r="I279" i="5"/>
  <c r="AB279" i="5"/>
  <c r="M277" i="5"/>
  <c r="I277" i="5"/>
  <c r="AB277" i="5"/>
  <c r="AF265" i="5"/>
  <c r="O265" i="5"/>
  <c r="AF259" i="5"/>
  <c r="O259" i="5"/>
  <c r="O281" i="5"/>
  <c r="AF281" i="5"/>
  <c r="S281" i="5"/>
  <c r="AF262" i="5"/>
  <c r="O262" i="5"/>
  <c r="AB276" i="5"/>
  <c r="I276" i="5"/>
  <c r="M276" i="5"/>
  <c r="AB272" i="5"/>
  <c r="I272" i="5"/>
  <c r="AB286" i="5"/>
  <c r="I286" i="5"/>
  <c r="I282" i="5"/>
  <c r="AB282" i="5"/>
  <c r="M282" i="5"/>
  <c r="O274" i="5"/>
  <c r="S274" i="5"/>
  <c r="AF274" i="5"/>
  <c r="O261" i="5"/>
  <c r="AF261" i="5"/>
  <c r="AF275" i="5"/>
  <c r="O275" i="5"/>
  <c r="O267" i="5"/>
  <c r="AF267" i="5"/>
  <c r="M280" i="5"/>
  <c r="M286" i="5"/>
  <c r="S275" i="5"/>
  <c r="I283" i="5"/>
  <c r="AB283" i="5"/>
  <c r="I285" i="5"/>
  <c r="M285" i="5"/>
  <c r="AB285" i="5"/>
  <c r="I258" i="5"/>
  <c r="M258" i="5"/>
  <c r="AB258" i="5"/>
  <c r="AB284" i="5"/>
  <c r="I284" i="5"/>
  <c r="AF280" i="5"/>
  <c r="O280" i="5"/>
  <c r="AF263" i="5"/>
  <c r="O263" i="5"/>
  <c r="S263" i="5"/>
  <c r="O264" i="5"/>
  <c r="AF264" i="5"/>
  <c r="O269" i="5"/>
  <c r="S269" i="5"/>
  <c r="AF269" i="5"/>
  <c r="M279" i="5"/>
  <c r="AB257" i="5"/>
  <c r="I257" i="5"/>
  <c r="I266" i="5"/>
  <c r="AB266" i="5"/>
  <c r="M266" i="5"/>
  <c r="I260" i="5"/>
  <c r="M260" i="5"/>
  <c r="AB260" i="5"/>
  <c r="I256" i="5"/>
  <c r="AB256" i="5"/>
  <c r="O268" i="5"/>
  <c r="S268" i="5"/>
  <c r="AF268" i="5"/>
  <c r="O273" i="5"/>
  <c r="S273" i="5"/>
  <c r="AF273" i="5"/>
  <c r="O271" i="5"/>
  <c r="AF271" i="5"/>
  <c r="S271" i="5"/>
  <c r="M256" i="5"/>
  <c r="S283" i="5"/>
  <c r="M270" i="5"/>
  <c r="I259" i="5"/>
  <c r="AB259" i="5"/>
  <c r="I281" i="5"/>
  <c r="AB281" i="5"/>
  <c r="M281" i="5"/>
  <c r="I262" i="5"/>
  <c r="AB262" i="5"/>
  <c r="I265" i="5"/>
  <c r="M265" i="5"/>
  <c r="AB265" i="5"/>
  <c r="O276" i="5"/>
  <c r="AF276" i="5"/>
  <c r="S276" i="5"/>
  <c r="AF270" i="5"/>
  <c r="O270" i="5"/>
  <c r="AF279" i="5"/>
  <c r="O279" i="5"/>
  <c r="O277" i="5"/>
  <c r="AF277" i="5"/>
  <c r="S277" i="5"/>
  <c r="AB261" i="5"/>
  <c r="I261" i="5"/>
  <c r="I275" i="5"/>
  <c r="AB275" i="5"/>
  <c r="AB267" i="5"/>
  <c r="I267" i="5"/>
  <c r="I274" i="5"/>
  <c r="AB274" i="5"/>
  <c r="M274" i="5"/>
  <c r="AF278" i="5"/>
  <c r="O278" i="5"/>
  <c r="AF272" i="5"/>
  <c r="O272" i="5"/>
  <c r="AF286" i="5"/>
  <c r="O286" i="5"/>
  <c r="O282" i="5"/>
  <c r="AF282" i="5"/>
  <c r="S259" i="5"/>
  <c r="S264" i="5"/>
  <c r="S40" i="5"/>
  <c r="AI40" i="5"/>
  <c r="I36" i="57" s="1"/>
  <c r="AF41" i="5"/>
  <c r="AI41" i="5"/>
  <c r="AB41" i="5"/>
  <c r="AH41" i="5"/>
  <c r="M39" i="5"/>
  <c r="AH39" i="5"/>
  <c r="E35" i="57" s="1"/>
  <c r="E37" i="57" s="1"/>
  <c r="S39" i="5"/>
  <c r="AI39" i="5"/>
  <c r="I35" i="57" s="1"/>
  <c r="I96" i="5"/>
  <c r="AB96" i="5"/>
  <c r="O96" i="5"/>
  <c r="AF96" i="5"/>
  <c r="S96" i="5"/>
  <c r="S41" i="5"/>
  <c r="M41" i="5"/>
  <c r="O152" i="5"/>
  <c r="AF152" i="5"/>
  <c r="I222" i="5"/>
  <c r="AB222" i="5"/>
  <c r="AB36" i="5"/>
  <c r="I36" i="5"/>
  <c r="M36" i="5"/>
  <c r="AB40" i="5"/>
  <c r="I40" i="5"/>
  <c r="O37" i="5"/>
  <c r="AF37" i="5"/>
  <c r="S37" i="5"/>
  <c r="AF39" i="5"/>
  <c r="O39" i="5"/>
  <c r="O40" i="5"/>
  <c r="AF40" i="5"/>
  <c r="M40" i="5"/>
  <c r="I41" i="5"/>
  <c r="I37" i="5"/>
  <c r="M37" i="5"/>
  <c r="AB37" i="5"/>
  <c r="AB39" i="5"/>
  <c r="I39" i="5"/>
  <c r="AF36" i="5"/>
  <c r="O36" i="5"/>
  <c r="S36" i="5"/>
  <c r="O222" i="5"/>
  <c r="AF222" i="5"/>
  <c r="I187" i="5"/>
  <c r="I152" i="5"/>
  <c r="M152" i="5"/>
  <c r="M187" i="5"/>
  <c r="AF187" i="5"/>
  <c r="O187" i="5"/>
  <c r="S187" i="5"/>
  <c r="U6" i="5"/>
  <c r="J58" i="5"/>
  <c r="U7" i="5" l="1"/>
  <c r="U17" i="5"/>
  <c r="U53" i="5"/>
  <c r="U38" i="5"/>
  <c r="U49" i="5"/>
  <c r="U97" i="5"/>
  <c r="U95" i="5"/>
  <c r="U106" i="5"/>
  <c r="U102" i="5"/>
  <c r="U94" i="5"/>
  <c r="I37" i="57"/>
  <c r="U284" i="5"/>
  <c r="U282" i="5"/>
  <c r="U277" i="5"/>
  <c r="U271" i="5"/>
  <c r="U269" i="5"/>
  <c r="U267" i="5"/>
  <c r="U262" i="5"/>
  <c r="U260" i="5"/>
  <c r="U258" i="5"/>
  <c r="U286" i="5"/>
  <c r="U279" i="5"/>
  <c r="U273" i="5"/>
  <c r="U264" i="5"/>
  <c r="U275" i="5"/>
  <c r="U281" i="5"/>
  <c r="U266" i="5"/>
  <c r="U285" i="5"/>
  <c r="U272" i="5"/>
  <c r="U270" i="5"/>
  <c r="U268" i="5"/>
  <c r="U263" i="5"/>
  <c r="U261" i="5"/>
  <c r="U259" i="5"/>
  <c r="U257" i="5"/>
  <c r="U283" i="5"/>
  <c r="U278" i="5"/>
  <c r="U276" i="5"/>
  <c r="U287" i="5"/>
  <c r="U280" i="5"/>
  <c r="U274" i="5"/>
  <c r="U265" i="5"/>
  <c r="U256" i="5"/>
  <c r="U96" i="5"/>
  <c r="U41" i="5"/>
  <c r="U40" i="5"/>
  <c r="AJ40" i="5" s="1"/>
  <c r="L36" i="57" s="1"/>
  <c r="U39" i="5"/>
  <c r="AJ39" i="5" s="1"/>
  <c r="L35" i="57" s="1"/>
  <c r="U37" i="5"/>
  <c r="AJ37" i="5" s="1"/>
  <c r="L34" i="57" s="1"/>
  <c r="U36" i="5"/>
  <c r="AJ36" i="5" s="1"/>
  <c r="L33" i="57" s="1"/>
  <c r="O41" i="5"/>
  <c r="U152" i="5"/>
  <c r="T152" i="5" s="1"/>
  <c r="U222" i="5"/>
  <c r="U58" i="5"/>
  <c r="U187" i="5"/>
  <c r="J9" i="5"/>
  <c r="J56" i="5"/>
  <c r="J54" i="5"/>
  <c r="J52" i="5"/>
  <c r="J50" i="5"/>
  <c r="J59" i="5"/>
  <c r="J57" i="5"/>
  <c r="J51" i="5"/>
  <c r="J55" i="5"/>
  <c r="J49" i="5"/>
  <c r="U50" i="5"/>
  <c r="U59" i="5"/>
  <c r="U57" i="5"/>
  <c r="U55" i="5"/>
  <c r="U51" i="5"/>
  <c r="U56" i="5"/>
  <c r="U54" i="5"/>
  <c r="U52" i="5"/>
  <c r="J8" i="5"/>
  <c r="J10" i="5"/>
  <c r="J11" i="5"/>
  <c r="T17" i="5" l="1"/>
  <c r="X17" i="5"/>
  <c r="T7" i="5"/>
  <c r="X7" i="5"/>
  <c r="AJ38" i="5"/>
  <c r="T38" i="5"/>
  <c r="X38" i="5"/>
  <c r="T106" i="5"/>
  <c r="X106" i="5"/>
  <c r="T94" i="5"/>
  <c r="X94" i="5"/>
  <c r="T95" i="5"/>
  <c r="X95" i="5"/>
  <c r="T97" i="5"/>
  <c r="X97" i="5"/>
  <c r="X102" i="5"/>
  <c r="T102" i="5"/>
  <c r="L37" i="57"/>
  <c r="X41" i="5"/>
  <c r="AJ41" i="5"/>
  <c r="T260" i="5"/>
  <c r="X260" i="5"/>
  <c r="T261" i="5"/>
  <c r="X261" i="5"/>
  <c r="T275" i="5"/>
  <c r="X275" i="5"/>
  <c r="T267" i="5"/>
  <c r="X267" i="5"/>
  <c r="T281" i="5"/>
  <c r="X281" i="5"/>
  <c r="T280" i="5"/>
  <c r="X280" i="5"/>
  <c r="T263" i="5"/>
  <c r="X263" i="5"/>
  <c r="T264" i="5"/>
  <c r="X264" i="5"/>
  <c r="T269" i="5"/>
  <c r="X269" i="5"/>
  <c r="T256" i="5"/>
  <c r="X256" i="5"/>
  <c r="T262" i="5"/>
  <c r="X262" i="5"/>
  <c r="T287" i="5"/>
  <c r="X287" i="5"/>
  <c r="T268" i="5"/>
  <c r="X268" i="5"/>
  <c r="T273" i="5"/>
  <c r="X273" i="5"/>
  <c r="T271" i="5"/>
  <c r="X271" i="5"/>
  <c r="T266" i="5"/>
  <c r="X266" i="5"/>
  <c r="T274" i="5"/>
  <c r="X274" i="5"/>
  <c r="T276" i="5"/>
  <c r="X276" i="5"/>
  <c r="T270" i="5"/>
  <c r="X270" i="5"/>
  <c r="X279" i="5"/>
  <c r="T279" i="5"/>
  <c r="T277" i="5"/>
  <c r="X277" i="5"/>
  <c r="T259" i="5"/>
  <c r="X259" i="5"/>
  <c r="T278" i="5"/>
  <c r="X278" i="5"/>
  <c r="T272" i="5"/>
  <c r="X272" i="5"/>
  <c r="T286" i="5"/>
  <c r="X286" i="5"/>
  <c r="T282" i="5"/>
  <c r="X282" i="5"/>
  <c r="T257" i="5"/>
  <c r="X257" i="5"/>
  <c r="T265" i="5"/>
  <c r="X265" i="5"/>
  <c r="T283" i="5"/>
  <c r="X283" i="5"/>
  <c r="T285" i="5"/>
  <c r="X285" i="5"/>
  <c r="T258" i="5"/>
  <c r="X258" i="5"/>
  <c r="T284" i="5"/>
  <c r="X284" i="5"/>
  <c r="T96" i="5"/>
  <c r="X96" i="5"/>
  <c r="T37" i="5"/>
  <c r="X37" i="5"/>
  <c r="T36" i="5"/>
  <c r="X36" i="5"/>
  <c r="T40" i="5"/>
  <c r="X40" i="5"/>
  <c r="T39" i="5"/>
  <c r="X39" i="5"/>
  <c r="X152" i="5"/>
  <c r="X222" i="5"/>
  <c r="T222" i="5"/>
  <c r="T187" i="5"/>
  <c r="X187" i="5"/>
  <c r="T41" i="5" l="1"/>
  <c r="G140" i="5"/>
  <c r="G135" i="5"/>
  <c r="G126" i="5"/>
  <c r="G129" i="5"/>
  <c r="G83" i="5"/>
  <c r="G10" i="5"/>
  <c r="G78" i="5" l="1"/>
  <c r="G69" i="5"/>
  <c r="G55" i="5" s="1"/>
  <c r="G67" i="5"/>
  <c r="G64" i="5"/>
  <c r="G30" i="5"/>
  <c r="G28" i="5"/>
  <c r="G26" i="5"/>
  <c r="G8" i="5"/>
  <c r="G6" i="5"/>
  <c r="G50" i="5" l="1"/>
  <c r="G71" i="5"/>
  <c r="C71" i="5" l="1"/>
  <c r="C72" i="5"/>
  <c r="F71" i="5" l="1"/>
  <c r="K71" i="5"/>
  <c r="V4" i="57" l="1"/>
  <c r="F20" i="57"/>
  <c r="AI71" i="5"/>
  <c r="I20" i="57" s="1"/>
  <c r="D20" i="57"/>
  <c r="U4" i="57"/>
  <c r="Z64" i="5"/>
  <c r="Z251" i="5"/>
  <c r="Z250" i="5"/>
  <c r="Z249" i="5"/>
  <c r="Z248" i="5"/>
  <c r="Z247" i="5"/>
  <c r="Z246" i="5"/>
  <c r="Z245" i="5"/>
  <c r="Z244" i="5"/>
  <c r="Z243" i="5"/>
  <c r="Z242" i="5"/>
  <c r="Z241" i="5"/>
  <c r="Z240" i="5"/>
  <c r="Z239" i="5"/>
  <c r="Z238" i="5"/>
  <c r="Z237" i="5"/>
  <c r="Z236" i="5"/>
  <c r="Z235" i="5"/>
  <c r="Z234" i="5"/>
  <c r="Z233" i="5"/>
  <c r="Z232" i="5"/>
  <c r="Z231" i="5"/>
  <c r="Z230" i="5"/>
  <c r="Z229" i="5"/>
  <c r="Z228" i="5"/>
  <c r="Z227" i="5"/>
  <c r="Z226" i="5"/>
  <c r="Z225" i="5"/>
  <c r="Z224" i="5"/>
  <c r="Z223" i="5"/>
  <c r="Z221" i="5"/>
  <c r="Z216" i="5"/>
  <c r="Z215" i="5"/>
  <c r="Z214" i="5"/>
  <c r="Z213" i="5"/>
  <c r="Z212" i="5"/>
  <c r="Z211" i="5"/>
  <c r="Z210" i="5"/>
  <c r="Z209" i="5"/>
  <c r="Z208" i="5"/>
  <c r="Z207" i="5"/>
  <c r="Z206" i="5"/>
  <c r="Z205" i="5"/>
  <c r="Z204" i="5"/>
  <c r="Z203" i="5"/>
  <c r="Z202" i="5"/>
  <c r="Z201" i="5"/>
  <c r="Z200" i="5"/>
  <c r="Z199" i="5"/>
  <c r="Z198" i="5"/>
  <c r="Z197" i="5"/>
  <c r="Z196" i="5"/>
  <c r="Z195" i="5"/>
  <c r="Z194" i="5"/>
  <c r="Z193" i="5"/>
  <c r="Z192" i="5"/>
  <c r="Z191" i="5"/>
  <c r="Z190" i="5"/>
  <c r="Z189" i="5"/>
  <c r="Z188" i="5"/>
  <c r="Z186" i="5"/>
  <c r="Z181" i="5"/>
  <c r="Z180" i="5"/>
  <c r="Z179" i="5"/>
  <c r="Z178" i="5"/>
  <c r="Z177" i="5"/>
  <c r="Z176" i="5"/>
  <c r="Z175" i="5"/>
  <c r="Z174" i="5"/>
  <c r="Z173" i="5"/>
  <c r="Z172" i="5"/>
  <c r="Z171" i="5"/>
  <c r="Z170" i="5"/>
  <c r="Z169" i="5"/>
  <c r="Z168" i="5"/>
  <c r="Z167" i="5"/>
  <c r="Z166" i="5"/>
  <c r="Z165" i="5"/>
  <c r="Z164" i="5"/>
  <c r="Z163" i="5"/>
  <c r="Z162" i="5"/>
  <c r="Z161" i="5"/>
  <c r="Z160" i="5"/>
  <c r="Z159" i="5"/>
  <c r="Z158" i="5"/>
  <c r="Z157" i="5"/>
  <c r="Z156" i="5"/>
  <c r="Z155" i="5"/>
  <c r="Z154" i="5"/>
  <c r="Z153" i="5"/>
  <c r="Z151" i="5"/>
  <c r="Z143" i="5"/>
  <c r="Z142" i="5"/>
  <c r="Z141" i="5"/>
  <c r="Z140" i="5"/>
  <c r="Z135" i="5"/>
  <c r="Z134" i="5"/>
  <c r="Z129" i="5"/>
  <c r="Z128" i="5"/>
  <c r="Z127" i="5"/>
  <c r="Z126" i="5"/>
  <c r="Z125" i="5"/>
  <c r="Z117" i="5"/>
  <c r="Z116" i="5"/>
  <c r="Z115" i="5"/>
  <c r="Z114" i="5"/>
  <c r="Z86" i="5"/>
  <c r="Z85" i="5"/>
  <c r="Z84" i="5"/>
  <c r="Z83" i="5"/>
  <c r="Z81" i="5"/>
  <c r="Z79" i="5"/>
  <c r="Z78" i="5"/>
  <c r="AC78" i="5" s="1"/>
  <c r="Z77" i="5"/>
  <c r="Z72" i="5"/>
  <c r="Z71" i="5"/>
  <c r="AC71" i="5" s="1"/>
  <c r="Z70" i="5"/>
  <c r="Z69" i="5"/>
  <c r="Z68" i="5"/>
  <c r="Z67" i="5"/>
  <c r="Z66" i="5"/>
  <c r="Z65" i="5"/>
  <c r="Z63" i="5"/>
  <c r="Z31" i="5"/>
  <c r="Z30" i="5"/>
  <c r="Z29" i="5"/>
  <c r="Z28" i="5"/>
  <c r="Z27" i="5"/>
  <c r="Z26" i="5"/>
  <c r="Z11" i="5"/>
  <c r="Z10" i="5"/>
  <c r="Z8" i="5"/>
  <c r="AD251" i="5"/>
  <c r="AD250" i="5"/>
  <c r="AD249" i="5"/>
  <c r="AD248" i="5"/>
  <c r="AD247" i="5"/>
  <c r="AD246" i="5"/>
  <c r="AD245" i="5"/>
  <c r="AD244" i="5"/>
  <c r="AD243" i="5"/>
  <c r="AD242" i="5"/>
  <c r="AD241" i="5"/>
  <c r="AD240" i="5"/>
  <c r="AD239" i="5"/>
  <c r="AD238" i="5"/>
  <c r="AD237" i="5"/>
  <c r="AD236" i="5"/>
  <c r="AD235" i="5"/>
  <c r="AD234" i="5"/>
  <c r="AD233" i="5"/>
  <c r="AD232" i="5"/>
  <c r="AD231" i="5"/>
  <c r="AD230" i="5"/>
  <c r="AD229" i="5"/>
  <c r="AD228" i="5"/>
  <c r="AD227" i="5"/>
  <c r="AD226" i="5"/>
  <c r="AD225" i="5"/>
  <c r="AD224" i="5"/>
  <c r="AD223" i="5"/>
  <c r="AD221" i="5"/>
  <c r="AD216" i="5"/>
  <c r="AD215" i="5"/>
  <c r="AD214" i="5"/>
  <c r="AD213" i="5"/>
  <c r="AD212" i="5"/>
  <c r="AD211" i="5"/>
  <c r="AD210" i="5"/>
  <c r="AD209" i="5"/>
  <c r="AD208" i="5"/>
  <c r="AD207" i="5"/>
  <c r="AD206" i="5"/>
  <c r="AD205" i="5"/>
  <c r="AD204" i="5"/>
  <c r="AD203" i="5"/>
  <c r="AD202" i="5"/>
  <c r="AD201" i="5"/>
  <c r="AD200" i="5"/>
  <c r="AD199" i="5"/>
  <c r="AD198" i="5"/>
  <c r="AD197" i="5"/>
  <c r="AD196" i="5"/>
  <c r="AD195" i="5"/>
  <c r="AD194" i="5"/>
  <c r="AD193" i="5"/>
  <c r="AD192" i="5"/>
  <c r="AD191" i="5"/>
  <c r="AD190" i="5"/>
  <c r="AD189" i="5"/>
  <c r="AD188" i="5"/>
  <c r="AD186" i="5"/>
  <c r="AD181" i="5"/>
  <c r="AD180" i="5"/>
  <c r="AD179" i="5"/>
  <c r="AD178" i="5"/>
  <c r="AD177" i="5"/>
  <c r="AD176" i="5"/>
  <c r="AD175" i="5"/>
  <c r="AD174" i="5"/>
  <c r="AD173" i="5"/>
  <c r="AD172" i="5"/>
  <c r="AD171" i="5"/>
  <c r="AD170" i="5"/>
  <c r="AD169" i="5"/>
  <c r="AD168" i="5"/>
  <c r="AD167" i="5"/>
  <c r="AD166" i="5"/>
  <c r="AD165" i="5"/>
  <c r="AD164" i="5"/>
  <c r="AD163" i="5"/>
  <c r="AD162" i="5"/>
  <c r="AD161" i="5"/>
  <c r="AD160" i="5"/>
  <c r="AD159" i="5"/>
  <c r="AD158" i="5"/>
  <c r="AD157" i="5"/>
  <c r="AD156" i="5"/>
  <c r="AD155" i="5"/>
  <c r="AD154" i="5"/>
  <c r="AD153" i="5"/>
  <c r="AD151" i="5"/>
  <c r="AD143" i="5"/>
  <c r="AD142" i="5"/>
  <c r="AD141" i="5"/>
  <c r="AD140" i="5"/>
  <c r="AD135" i="5"/>
  <c r="AD134" i="5"/>
  <c r="AD129" i="5"/>
  <c r="AD128" i="5"/>
  <c r="AD127" i="5"/>
  <c r="AD126" i="5"/>
  <c r="AD125" i="5"/>
  <c r="AD117" i="5"/>
  <c r="AD116" i="5"/>
  <c r="AD115" i="5"/>
  <c r="AD114" i="5"/>
  <c r="AD86" i="5"/>
  <c r="AD85" i="5"/>
  <c r="AD84" i="5"/>
  <c r="AD83" i="5"/>
  <c r="AD81" i="5"/>
  <c r="AD79" i="5"/>
  <c r="AD78" i="5"/>
  <c r="AD77" i="5"/>
  <c r="AD72" i="5"/>
  <c r="AD71" i="5"/>
  <c r="AD70" i="5"/>
  <c r="AD69" i="5"/>
  <c r="AD68" i="5"/>
  <c r="AD67" i="5"/>
  <c r="AD66" i="5"/>
  <c r="AD65" i="5"/>
  <c r="AD64" i="5"/>
  <c r="AD63" i="5"/>
  <c r="AD31" i="5"/>
  <c r="AD30" i="5"/>
  <c r="AD29" i="5"/>
  <c r="AD28" i="5"/>
  <c r="AD27" i="5"/>
  <c r="AD26" i="5"/>
  <c r="AD11" i="5"/>
  <c r="AD10" i="5"/>
  <c r="AD8" i="5"/>
  <c r="AD12" i="5" l="1"/>
  <c r="W3" i="57"/>
  <c r="H23" i="57"/>
  <c r="G20" i="57"/>
  <c r="H20" i="57"/>
  <c r="W4" i="57"/>
  <c r="X4" i="57" s="1"/>
  <c r="Z146" i="5"/>
  <c r="Z87" i="5"/>
  <c r="AD87" i="5"/>
  <c r="AD252" i="5"/>
  <c r="Z118" i="5"/>
  <c r="Z136" i="5"/>
  <c r="Z12" i="5"/>
  <c r="Z252" i="5"/>
  <c r="Z32" i="5"/>
  <c r="Z182" i="5"/>
  <c r="Z22" i="5"/>
  <c r="Z130" i="5"/>
  <c r="Z144" i="5"/>
  <c r="Z73" i="5"/>
  <c r="Z217" i="5"/>
  <c r="Z107" i="5"/>
  <c r="AD73" i="5"/>
  <c r="AD107" i="5"/>
  <c r="AD130" i="5"/>
  <c r="AD32" i="5"/>
  <c r="AD118" i="5"/>
  <c r="AD182" i="5"/>
  <c r="AD22" i="5"/>
  <c r="AD136" i="5"/>
  <c r="AD217" i="5"/>
  <c r="AD144" i="5"/>
  <c r="T5" i="5" l="1"/>
  <c r="C6" i="5"/>
  <c r="D6" i="5"/>
  <c r="E6" i="5"/>
  <c r="F6" i="5"/>
  <c r="J191" i="5"/>
  <c r="K6" i="5"/>
  <c r="D8" i="55" s="1"/>
  <c r="Q6" i="5"/>
  <c r="E8" i="55" s="1"/>
  <c r="U191" i="5"/>
  <c r="V6" i="5"/>
  <c r="AC7" i="5"/>
  <c r="C8" i="5"/>
  <c r="D8" i="5"/>
  <c r="E8" i="5"/>
  <c r="F8" i="5"/>
  <c r="K8" i="5"/>
  <c r="D10" i="55" s="1"/>
  <c r="Q8" i="5"/>
  <c r="E10" i="55" s="1"/>
  <c r="V8" i="5"/>
  <c r="AC9" i="5"/>
  <c r="V9" i="5"/>
  <c r="C10" i="5"/>
  <c r="D10" i="5"/>
  <c r="E10" i="5"/>
  <c r="F10" i="5"/>
  <c r="K10" i="5"/>
  <c r="D12" i="55" s="1"/>
  <c r="Q10" i="5"/>
  <c r="E12" i="55" s="1"/>
  <c r="V10" i="5"/>
  <c r="C11" i="5"/>
  <c r="D11" i="5"/>
  <c r="E11" i="5"/>
  <c r="F11" i="5"/>
  <c r="AC11" i="5" s="1"/>
  <c r="G11" i="5"/>
  <c r="K11" i="5"/>
  <c r="Q11" i="5"/>
  <c r="V11" i="5"/>
  <c r="T15" i="5"/>
  <c r="AC16" i="5"/>
  <c r="AC17" i="5"/>
  <c r="AC18" i="5"/>
  <c r="AC19" i="5"/>
  <c r="AC20" i="5"/>
  <c r="AC21" i="5"/>
  <c r="T25" i="5"/>
  <c r="C26" i="5"/>
  <c r="D26" i="5"/>
  <c r="E26" i="5"/>
  <c r="F26" i="5"/>
  <c r="AC26" i="5" s="1"/>
  <c r="K26" i="5"/>
  <c r="Q26" i="5"/>
  <c r="V26" i="5"/>
  <c r="C27" i="5"/>
  <c r="D27" i="5"/>
  <c r="E27" i="5"/>
  <c r="F27" i="5"/>
  <c r="AC27" i="5" s="1"/>
  <c r="G27" i="5"/>
  <c r="K27" i="5"/>
  <c r="Q27" i="5"/>
  <c r="V27" i="5"/>
  <c r="C28" i="5"/>
  <c r="D28" i="5"/>
  <c r="E28" i="5"/>
  <c r="F28" i="5"/>
  <c r="AC28" i="5" s="1"/>
  <c r="K28" i="5"/>
  <c r="Q28" i="5"/>
  <c r="V28" i="5"/>
  <c r="C29" i="5"/>
  <c r="D29" i="5"/>
  <c r="E29" i="5"/>
  <c r="F29" i="5"/>
  <c r="AC29" i="5" s="1"/>
  <c r="G29" i="5"/>
  <c r="K29" i="5"/>
  <c r="Q29" i="5"/>
  <c r="V29" i="5"/>
  <c r="C30" i="5"/>
  <c r="D30" i="5"/>
  <c r="E30" i="5"/>
  <c r="F30" i="5"/>
  <c r="AC30" i="5" s="1"/>
  <c r="K30" i="5"/>
  <c r="Q30" i="5"/>
  <c r="V30" i="5"/>
  <c r="C31" i="5"/>
  <c r="D31" i="5"/>
  <c r="E31" i="5"/>
  <c r="F31" i="5"/>
  <c r="AC31" i="5" s="1"/>
  <c r="G31" i="5"/>
  <c r="K31" i="5"/>
  <c r="Q31" i="5"/>
  <c r="V31" i="5"/>
  <c r="T62" i="5"/>
  <c r="C63" i="5"/>
  <c r="C49" i="5" s="1"/>
  <c r="D63" i="5"/>
  <c r="E63" i="5"/>
  <c r="F63" i="5"/>
  <c r="G63" i="5"/>
  <c r="K63" i="5"/>
  <c r="Q63" i="5"/>
  <c r="V63" i="5"/>
  <c r="M12" i="57" s="1"/>
  <c r="C64" i="5"/>
  <c r="D64" i="5"/>
  <c r="E64" i="5"/>
  <c r="F64" i="5"/>
  <c r="K64" i="5"/>
  <c r="Q64" i="5"/>
  <c r="J13" i="57" s="1"/>
  <c r="V64" i="5"/>
  <c r="M13" i="57" s="1"/>
  <c r="C65" i="5"/>
  <c r="D65" i="5"/>
  <c r="E65" i="5"/>
  <c r="F65" i="5"/>
  <c r="G65" i="5"/>
  <c r="K65" i="5"/>
  <c r="Q65" i="5"/>
  <c r="J14" i="57" s="1"/>
  <c r="V65" i="5"/>
  <c r="M14" i="57" s="1"/>
  <c r="C66" i="5"/>
  <c r="C52" i="5" s="1"/>
  <c r="D66" i="5"/>
  <c r="D52" i="5" s="1"/>
  <c r="E66" i="5"/>
  <c r="E52" i="5" s="1"/>
  <c r="F66" i="5"/>
  <c r="F52" i="5" s="1"/>
  <c r="G66" i="5"/>
  <c r="G52" i="5" s="1"/>
  <c r="K66" i="5"/>
  <c r="Z52" i="5" s="1"/>
  <c r="Q66" i="5"/>
  <c r="J15" i="57" s="1"/>
  <c r="V66" i="5"/>
  <c r="C67" i="5"/>
  <c r="D67" i="5"/>
  <c r="E67" i="5"/>
  <c r="F67" i="5"/>
  <c r="K67" i="5"/>
  <c r="Q67" i="5"/>
  <c r="J16" i="57" s="1"/>
  <c r="V67" i="5"/>
  <c r="C68" i="5"/>
  <c r="C54" i="5" s="1"/>
  <c r="D68" i="5"/>
  <c r="D54" i="5" s="1"/>
  <c r="E68" i="5"/>
  <c r="E54" i="5" s="1"/>
  <c r="F68" i="5"/>
  <c r="G68" i="5"/>
  <c r="G54" i="5" s="1"/>
  <c r="K68" i="5"/>
  <c r="Q68" i="5"/>
  <c r="J17" i="57" s="1"/>
  <c r="V68" i="5"/>
  <c r="C69" i="5"/>
  <c r="D69" i="5"/>
  <c r="E69" i="5"/>
  <c r="F69" i="5"/>
  <c r="K69" i="5"/>
  <c r="Q69" i="5"/>
  <c r="J18" i="57" s="1"/>
  <c r="V69" i="5"/>
  <c r="M18" i="57" s="1"/>
  <c r="C70" i="5"/>
  <c r="C56" i="5" s="1"/>
  <c r="D70" i="5"/>
  <c r="D56" i="5" s="1"/>
  <c r="E70" i="5"/>
  <c r="E56" i="5" s="1"/>
  <c r="F70" i="5"/>
  <c r="G70" i="5"/>
  <c r="K70" i="5"/>
  <c r="Q70" i="5"/>
  <c r="J19" i="57" s="1"/>
  <c r="V70" i="5"/>
  <c r="M19" i="57" s="1"/>
  <c r="D71" i="5"/>
  <c r="E71" i="5"/>
  <c r="Q71" i="5"/>
  <c r="J20" i="57" s="1"/>
  <c r="K20" i="57" s="1"/>
  <c r="V71" i="5"/>
  <c r="M20" i="57" s="1"/>
  <c r="D72" i="5"/>
  <c r="E72" i="5"/>
  <c r="AI72" i="5"/>
  <c r="G72" i="5"/>
  <c r="K72" i="5"/>
  <c r="Q72" i="5"/>
  <c r="V72" i="5"/>
  <c r="T76" i="5"/>
  <c r="D77" i="5"/>
  <c r="E77" i="5"/>
  <c r="F77" i="5"/>
  <c r="G77" i="5"/>
  <c r="K77" i="5"/>
  <c r="Q77" i="5"/>
  <c r="J22" i="57" s="1"/>
  <c r="V77" i="5"/>
  <c r="M22" i="57" s="1"/>
  <c r="C78" i="5"/>
  <c r="D78" i="5"/>
  <c r="E78" i="5"/>
  <c r="K78" i="5"/>
  <c r="Q78" i="5"/>
  <c r="J23" i="57" s="1"/>
  <c r="K23" i="57" s="1"/>
  <c r="V78" i="5"/>
  <c r="M23" i="57" s="1"/>
  <c r="C79" i="5"/>
  <c r="D79" i="5"/>
  <c r="E79" i="5"/>
  <c r="F79" i="5"/>
  <c r="G79" i="5"/>
  <c r="K79" i="5"/>
  <c r="Q79" i="5"/>
  <c r="J24" i="57" s="1"/>
  <c r="V79" i="5"/>
  <c r="M24" i="57" s="1"/>
  <c r="AI80" i="5"/>
  <c r="I25" i="57" s="1"/>
  <c r="C81" i="5"/>
  <c r="C53" i="5" s="1"/>
  <c r="D81" i="5"/>
  <c r="D53" i="5" s="1"/>
  <c r="E81" i="5"/>
  <c r="E53" i="5" s="1"/>
  <c r="F81" i="5"/>
  <c r="F53" i="5" s="1"/>
  <c r="G81" i="5"/>
  <c r="G53" i="5" s="1"/>
  <c r="Q81" i="5"/>
  <c r="V81" i="5"/>
  <c r="M26" i="57" s="1"/>
  <c r="AI82" i="5"/>
  <c r="I27" i="57" s="1"/>
  <c r="C83" i="5"/>
  <c r="D83" i="5"/>
  <c r="E83" i="5"/>
  <c r="F83" i="5"/>
  <c r="K83" i="5"/>
  <c r="F28" i="57" s="1"/>
  <c r="Q83" i="5"/>
  <c r="J28" i="57" s="1"/>
  <c r="V83" i="5"/>
  <c r="M28" i="57" s="1"/>
  <c r="G84" i="5"/>
  <c r="K84" i="5"/>
  <c r="Q84" i="5"/>
  <c r="V84" i="5"/>
  <c r="M29" i="57" s="1"/>
  <c r="C85" i="5"/>
  <c r="C57" i="5" s="1"/>
  <c r="D85" i="5"/>
  <c r="E85" i="5"/>
  <c r="F85" i="5"/>
  <c r="G85" i="5"/>
  <c r="G57" i="5" s="1"/>
  <c r="K85" i="5"/>
  <c r="Q85" i="5"/>
  <c r="V85" i="5"/>
  <c r="M30" i="57" s="1"/>
  <c r="C86" i="5"/>
  <c r="D86" i="5"/>
  <c r="E86" i="5"/>
  <c r="F86" i="5"/>
  <c r="G86" i="5"/>
  <c r="K86" i="5"/>
  <c r="Q86" i="5"/>
  <c r="V86" i="5"/>
  <c r="M31" i="57" s="1"/>
  <c r="M11" i="57" s="1"/>
  <c r="T93" i="5"/>
  <c r="AC98" i="5"/>
  <c r="AC99" i="5"/>
  <c r="AC100" i="5"/>
  <c r="AC101" i="5"/>
  <c r="AC103" i="5"/>
  <c r="AC104" i="5"/>
  <c r="AC105" i="5"/>
  <c r="T113" i="5"/>
  <c r="C114" i="5"/>
  <c r="D114" i="5"/>
  <c r="E114" i="5"/>
  <c r="F114" i="5"/>
  <c r="AC114" i="5" s="1"/>
  <c r="G114" i="5"/>
  <c r="K114" i="5"/>
  <c r="Q114" i="5"/>
  <c r="V114" i="5"/>
  <c r="C115" i="5"/>
  <c r="D115" i="5"/>
  <c r="E115" i="5"/>
  <c r="F115" i="5"/>
  <c r="AC115" i="5" s="1"/>
  <c r="G115" i="5"/>
  <c r="K115" i="5"/>
  <c r="Q115" i="5"/>
  <c r="V115" i="5"/>
  <c r="C116" i="5"/>
  <c r="D116" i="5"/>
  <c r="E116" i="5"/>
  <c r="F116" i="5"/>
  <c r="AC116" i="5" s="1"/>
  <c r="G116" i="5"/>
  <c r="K116" i="5"/>
  <c r="Q116" i="5"/>
  <c r="V116" i="5"/>
  <c r="C117" i="5"/>
  <c r="D117" i="5"/>
  <c r="E117" i="5"/>
  <c r="F117" i="5"/>
  <c r="AC117" i="5" s="1"/>
  <c r="G117" i="5"/>
  <c r="K117" i="5"/>
  <c r="Q117" i="5"/>
  <c r="V117" i="5"/>
  <c r="T124" i="5"/>
  <c r="C125" i="5"/>
  <c r="D125" i="5"/>
  <c r="E125" i="5"/>
  <c r="F125" i="5"/>
  <c r="AC125" i="5" s="1"/>
  <c r="G125" i="5"/>
  <c r="K125" i="5"/>
  <c r="Q125" i="5"/>
  <c r="V125" i="5"/>
  <c r="C126" i="5"/>
  <c r="D126" i="5"/>
  <c r="E126" i="5"/>
  <c r="F126" i="5"/>
  <c r="AC126" i="5" s="1"/>
  <c r="K126" i="5"/>
  <c r="Q126" i="5"/>
  <c r="V126" i="5"/>
  <c r="C127" i="5"/>
  <c r="D127" i="5"/>
  <c r="E127" i="5"/>
  <c r="F127" i="5"/>
  <c r="AC127" i="5" s="1"/>
  <c r="G127" i="5"/>
  <c r="K127" i="5"/>
  <c r="Q127" i="5"/>
  <c r="V127" i="5"/>
  <c r="C128" i="5"/>
  <c r="D128" i="5"/>
  <c r="E128" i="5"/>
  <c r="F128" i="5"/>
  <c r="AC128" i="5" s="1"/>
  <c r="G128" i="5"/>
  <c r="K128" i="5"/>
  <c r="Q128" i="5"/>
  <c r="V128" i="5"/>
  <c r="C129" i="5"/>
  <c r="D129" i="5"/>
  <c r="E129" i="5"/>
  <c r="F129" i="5"/>
  <c r="AC129" i="5" s="1"/>
  <c r="K129" i="5"/>
  <c r="Q129" i="5"/>
  <c r="V129" i="5"/>
  <c r="T133" i="5"/>
  <c r="C134" i="5"/>
  <c r="D134" i="5"/>
  <c r="E134" i="5"/>
  <c r="F134" i="5"/>
  <c r="AC134" i="5" s="1"/>
  <c r="G134" i="5"/>
  <c r="K134" i="5"/>
  <c r="Q134" i="5"/>
  <c r="V134" i="5"/>
  <c r="C135" i="5"/>
  <c r="D135" i="5"/>
  <c r="E135" i="5"/>
  <c r="F135" i="5"/>
  <c r="K135" i="5"/>
  <c r="Q135" i="5"/>
  <c r="V135" i="5"/>
  <c r="T139" i="5"/>
  <c r="C140" i="5"/>
  <c r="D140" i="5"/>
  <c r="E140" i="5"/>
  <c r="F140" i="5"/>
  <c r="AC140" i="5" s="1"/>
  <c r="K140" i="5"/>
  <c r="Q140" i="5"/>
  <c r="V140" i="5"/>
  <c r="C141" i="5"/>
  <c r="D141" i="5"/>
  <c r="E141" i="5"/>
  <c r="F141" i="5"/>
  <c r="AC141" i="5" s="1"/>
  <c r="G141" i="5"/>
  <c r="K141" i="5"/>
  <c r="Q141" i="5"/>
  <c r="V141" i="5"/>
  <c r="C142" i="5"/>
  <c r="D142" i="5"/>
  <c r="E142" i="5"/>
  <c r="F142" i="5"/>
  <c r="AC142" i="5" s="1"/>
  <c r="G142" i="5"/>
  <c r="K142" i="5"/>
  <c r="Q142" i="5"/>
  <c r="V142" i="5"/>
  <c r="C143" i="5"/>
  <c r="D143" i="5"/>
  <c r="E143" i="5"/>
  <c r="AC143" i="5"/>
  <c r="W9" i="57" s="1"/>
  <c r="G143" i="5"/>
  <c r="K143" i="5"/>
  <c r="V9" i="57" s="1"/>
  <c r="Q143" i="5"/>
  <c r="V143" i="5"/>
  <c r="T150" i="5"/>
  <c r="C151" i="5"/>
  <c r="D151" i="5"/>
  <c r="E151" i="5"/>
  <c r="F151" i="5"/>
  <c r="G151" i="5"/>
  <c r="K151" i="5"/>
  <c r="D35" i="55" s="1"/>
  <c r="Q151" i="5"/>
  <c r="E35" i="55" s="1"/>
  <c r="V151" i="5"/>
  <c r="C153" i="5"/>
  <c r="D153" i="5"/>
  <c r="E153" i="5"/>
  <c r="F153" i="5"/>
  <c r="G153" i="5"/>
  <c r="K153" i="5"/>
  <c r="D38" i="55" s="1"/>
  <c r="Q153" i="5"/>
  <c r="E38" i="55" s="1"/>
  <c r="V153" i="5"/>
  <c r="C154" i="5"/>
  <c r="D154" i="5"/>
  <c r="E154" i="5"/>
  <c r="F154" i="5"/>
  <c r="G154" i="5"/>
  <c r="K154" i="5"/>
  <c r="D34" i="55" s="1"/>
  <c r="Q154" i="5"/>
  <c r="E34" i="55" s="1"/>
  <c r="V154" i="5"/>
  <c r="C155" i="5"/>
  <c r="D155" i="5"/>
  <c r="E155" i="5"/>
  <c r="F155" i="5"/>
  <c r="G155" i="5"/>
  <c r="K155" i="5"/>
  <c r="D29" i="55" s="1"/>
  <c r="Q155" i="5"/>
  <c r="E29" i="55" s="1"/>
  <c r="V155" i="5"/>
  <c r="C156" i="5"/>
  <c r="D156" i="5"/>
  <c r="E156" i="5"/>
  <c r="F156" i="5"/>
  <c r="G156" i="5"/>
  <c r="K156" i="5"/>
  <c r="D18" i="55" s="1"/>
  <c r="Q156" i="5"/>
  <c r="E18" i="55" s="1"/>
  <c r="V156" i="5"/>
  <c r="C157" i="5"/>
  <c r="D157" i="5"/>
  <c r="E157" i="5"/>
  <c r="F157" i="5"/>
  <c r="G157" i="5"/>
  <c r="K157" i="5"/>
  <c r="D30" i="55" s="1"/>
  <c r="Q157" i="5"/>
  <c r="E30" i="55" s="1"/>
  <c r="V157" i="5"/>
  <c r="C158" i="5"/>
  <c r="D158" i="5"/>
  <c r="E158" i="5"/>
  <c r="F158" i="5"/>
  <c r="G158" i="5"/>
  <c r="K158" i="5"/>
  <c r="D31" i="55" s="1"/>
  <c r="Q158" i="5"/>
  <c r="E31" i="55" s="1"/>
  <c r="V158" i="5"/>
  <c r="C159" i="5"/>
  <c r="D159" i="5"/>
  <c r="E159" i="5"/>
  <c r="F159" i="5"/>
  <c r="G159" i="5"/>
  <c r="K159" i="5"/>
  <c r="D27" i="55" s="1"/>
  <c r="Q159" i="5"/>
  <c r="E27" i="55" s="1"/>
  <c r="V159" i="5"/>
  <c r="C160" i="5"/>
  <c r="D160" i="5"/>
  <c r="E160" i="5"/>
  <c r="F160" i="5"/>
  <c r="G160" i="5"/>
  <c r="K160" i="5"/>
  <c r="D28" i="55" s="1"/>
  <c r="Q160" i="5"/>
  <c r="E28" i="55" s="1"/>
  <c r="V160" i="5"/>
  <c r="C161" i="5"/>
  <c r="D161" i="5"/>
  <c r="E161" i="5"/>
  <c r="F161" i="5"/>
  <c r="G161" i="5"/>
  <c r="K161" i="5"/>
  <c r="D39" i="55" s="1"/>
  <c r="Q161" i="5"/>
  <c r="E39" i="55" s="1"/>
  <c r="V161" i="5"/>
  <c r="C162" i="5"/>
  <c r="D162" i="5"/>
  <c r="E162" i="5"/>
  <c r="F162" i="5"/>
  <c r="G162" i="5"/>
  <c r="K162" i="5"/>
  <c r="D25" i="55" s="1"/>
  <c r="Q162" i="5"/>
  <c r="E25" i="55" s="1"/>
  <c r="V162" i="5"/>
  <c r="C163" i="5"/>
  <c r="D163" i="5"/>
  <c r="E163" i="5"/>
  <c r="F163" i="5"/>
  <c r="G163" i="5"/>
  <c r="K163" i="5"/>
  <c r="D17" i="55" s="1"/>
  <c r="Q163" i="5"/>
  <c r="E17" i="55" s="1"/>
  <c r="V163" i="5"/>
  <c r="C164" i="5"/>
  <c r="D164" i="5"/>
  <c r="E164" i="5"/>
  <c r="F164" i="5"/>
  <c r="G164" i="5"/>
  <c r="K164" i="5"/>
  <c r="D23" i="55" s="1"/>
  <c r="Q164" i="5"/>
  <c r="E23" i="55" s="1"/>
  <c r="V164" i="5"/>
  <c r="C165" i="5"/>
  <c r="D165" i="5"/>
  <c r="E165" i="5"/>
  <c r="F165" i="5"/>
  <c r="G165" i="5"/>
  <c r="K165" i="5"/>
  <c r="D40" i="55" s="1"/>
  <c r="Q165" i="5"/>
  <c r="E40" i="55" s="1"/>
  <c r="V165" i="5"/>
  <c r="C166" i="5"/>
  <c r="D166" i="5"/>
  <c r="E166" i="5"/>
  <c r="F166" i="5"/>
  <c r="G166" i="5"/>
  <c r="K166" i="5"/>
  <c r="D24" i="55" s="1"/>
  <c r="Q166" i="5"/>
  <c r="E24" i="55" s="1"/>
  <c r="V166" i="5"/>
  <c r="C167" i="5"/>
  <c r="D167" i="5"/>
  <c r="E167" i="5"/>
  <c r="F167" i="5"/>
  <c r="G167" i="5"/>
  <c r="K167" i="5"/>
  <c r="D41" i="55" s="1"/>
  <c r="Q167" i="5"/>
  <c r="E41" i="55" s="1"/>
  <c r="V167" i="5"/>
  <c r="C168" i="5"/>
  <c r="D168" i="5"/>
  <c r="E168" i="5"/>
  <c r="F168" i="5"/>
  <c r="G168" i="5"/>
  <c r="K168" i="5"/>
  <c r="D32" i="55" s="1"/>
  <c r="Q168" i="5"/>
  <c r="E32" i="55" s="1"/>
  <c r="V168" i="5"/>
  <c r="C169" i="5"/>
  <c r="D169" i="5"/>
  <c r="E169" i="5"/>
  <c r="F169" i="5"/>
  <c r="G169" i="5"/>
  <c r="K169" i="5"/>
  <c r="D33" i="55" s="1"/>
  <c r="Q169" i="5"/>
  <c r="E33" i="55" s="1"/>
  <c r="V169" i="5"/>
  <c r="C170" i="5"/>
  <c r="D170" i="5"/>
  <c r="E170" i="5"/>
  <c r="F170" i="5"/>
  <c r="G170" i="5"/>
  <c r="K170" i="5"/>
  <c r="D16" i="55" s="1"/>
  <c r="Q170" i="5"/>
  <c r="E16" i="55" s="1"/>
  <c r="V170" i="5"/>
  <c r="C171" i="5"/>
  <c r="D171" i="5"/>
  <c r="E171" i="5"/>
  <c r="F171" i="5"/>
  <c r="G171" i="5"/>
  <c r="K171" i="5"/>
  <c r="D37" i="55" s="1"/>
  <c r="Q171" i="5"/>
  <c r="E37" i="55" s="1"/>
  <c r="V171" i="5"/>
  <c r="C172" i="5"/>
  <c r="D172" i="5"/>
  <c r="E172" i="5"/>
  <c r="F172" i="5"/>
  <c r="G172" i="5"/>
  <c r="K172" i="5"/>
  <c r="D20" i="55" s="1"/>
  <c r="Q172" i="5"/>
  <c r="E20" i="55" s="1"/>
  <c r="V172" i="5"/>
  <c r="C173" i="5"/>
  <c r="D173" i="5"/>
  <c r="E173" i="5"/>
  <c r="F173" i="5"/>
  <c r="G173" i="5"/>
  <c r="K173" i="5"/>
  <c r="D26" i="55" s="1"/>
  <c r="Q173" i="5"/>
  <c r="E26" i="55" s="1"/>
  <c r="V173" i="5"/>
  <c r="C174" i="5"/>
  <c r="D174" i="5"/>
  <c r="E174" i="5"/>
  <c r="F174" i="5"/>
  <c r="G174" i="5"/>
  <c r="K174" i="5"/>
  <c r="D15" i="55" s="1"/>
  <c r="Q174" i="5"/>
  <c r="E15" i="55" s="1"/>
  <c r="V174" i="5"/>
  <c r="C175" i="5"/>
  <c r="D175" i="5"/>
  <c r="E175" i="5"/>
  <c r="F175" i="5"/>
  <c r="G175" i="5"/>
  <c r="K175" i="5"/>
  <c r="D43" i="55" s="1"/>
  <c r="Q175" i="5"/>
  <c r="E43" i="55" s="1"/>
  <c r="V175" i="5"/>
  <c r="C176" i="5"/>
  <c r="D176" i="5"/>
  <c r="E176" i="5"/>
  <c r="F176" i="5"/>
  <c r="G176" i="5"/>
  <c r="K176" i="5"/>
  <c r="D14" i="55" s="1"/>
  <c r="Q176" i="5"/>
  <c r="E14" i="55" s="1"/>
  <c r="V176" i="5"/>
  <c r="C177" i="5"/>
  <c r="D177" i="5"/>
  <c r="E177" i="5"/>
  <c r="F177" i="5"/>
  <c r="G177" i="5"/>
  <c r="K177" i="5"/>
  <c r="D21" i="55" s="1"/>
  <c r="Q177" i="5"/>
  <c r="E21" i="55" s="1"/>
  <c r="V177" i="5"/>
  <c r="C178" i="5"/>
  <c r="D178" i="5"/>
  <c r="E178" i="5"/>
  <c r="F178" i="5"/>
  <c r="G178" i="5"/>
  <c r="K178" i="5"/>
  <c r="D42" i="55" s="1"/>
  <c r="Q178" i="5"/>
  <c r="E42" i="55" s="1"/>
  <c r="V178" i="5"/>
  <c r="C179" i="5"/>
  <c r="D179" i="5"/>
  <c r="E179" i="5"/>
  <c r="F179" i="5"/>
  <c r="G179" i="5"/>
  <c r="K179" i="5"/>
  <c r="D19" i="55" s="1"/>
  <c r="Q179" i="5"/>
  <c r="E19" i="55" s="1"/>
  <c r="V179" i="5"/>
  <c r="C180" i="5"/>
  <c r="D180" i="5"/>
  <c r="E180" i="5"/>
  <c r="F180" i="5"/>
  <c r="G180" i="5"/>
  <c r="K180" i="5"/>
  <c r="D22" i="55" s="1"/>
  <c r="Q180" i="5"/>
  <c r="E22" i="55" s="1"/>
  <c r="V180" i="5"/>
  <c r="C181" i="5"/>
  <c r="D181" i="5"/>
  <c r="E181" i="5"/>
  <c r="F181" i="5"/>
  <c r="G181" i="5"/>
  <c r="K181" i="5"/>
  <c r="D36" i="55" s="1"/>
  <c r="Q181" i="5"/>
  <c r="E36" i="55" s="1"/>
  <c r="V181" i="5"/>
  <c r="T185" i="5"/>
  <c r="C186" i="5"/>
  <c r="D186" i="5"/>
  <c r="E186" i="5"/>
  <c r="F186" i="5"/>
  <c r="AC186" i="5" s="1"/>
  <c r="G186" i="5"/>
  <c r="K186" i="5"/>
  <c r="Q186" i="5"/>
  <c r="V186" i="5"/>
  <c r="C188" i="5"/>
  <c r="D188" i="5"/>
  <c r="E188" i="5"/>
  <c r="F188" i="5"/>
  <c r="AC188" i="5" s="1"/>
  <c r="G188" i="5"/>
  <c r="K188" i="5"/>
  <c r="Q188" i="5"/>
  <c r="V188" i="5"/>
  <c r="C189" i="5"/>
  <c r="D189" i="5"/>
  <c r="E189" i="5"/>
  <c r="F189" i="5"/>
  <c r="AC189" i="5" s="1"/>
  <c r="G189" i="5"/>
  <c r="K189" i="5"/>
  <c r="Q189" i="5"/>
  <c r="V189" i="5"/>
  <c r="C190" i="5"/>
  <c r="D190" i="5"/>
  <c r="E190" i="5"/>
  <c r="F190" i="5"/>
  <c r="AC190" i="5" s="1"/>
  <c r="G190" i="5"/>
  <c r="K190" i="5"/>
  <c r="Q190" i="5"/>
  <c r="V190" i="5"/>
  <c r="C191" i="5"/>
  <c r="D191" i="5"/>
  <c r="E191" i="5"/>
  <c r="F191" i="5"/>
  <c r="AC191" i="5" s="1"/>
  <c r="G191" i="5"/>
  <c r="K191" i="5"/>
  <c r="Q191" i="5"/>
  <c r="V191" i="5"/>
  <c r="C192" i="5"/>
  <c r="D192" i="5"/>
  <c r="E192" i="5"/>
  <c r="F192" i="5"/>
  <c r="AC192" i="5" s="1"/>
  <c r="G192" i="5"/>
  <c r="K192" i="5"/>
  <c r="Q192" i="5"/>
  <c r="V192" i="5"/>
  <c r="C193" i="5"/>
  <c r="D193" i="5"/>
  <c r="E193" i="5"/>
  <c r="F193" i="5"/>
  <c r="AC193" i="5" s="1"/>
  <c r="G193" i="5"/>
  <c r="K193" i="5"/>
  <c r="Q193" i="5"/>
  <c r="V193" i="5"/>
  <c r="C194" i="5"/>
  <c r="D194" i="5"/>
  <c r="E194" i="5"/>
  <c r="F194" i="5"/>
  <c r="AC194" i="5" s="1"/>
  <c r="G194" i="5"/>
  <c r="K194" i="5"/>
  <c r="Q194" i="5"/>
  <c r="V194" i="5"/>
  <c r="C195" i="5"/>
  <c r="D195" i="5"/>
  <c r="E195" i="5"/>
  <c r="F195" i="5"/>
  <c r="AC195" i="5" s="1"/>
  <c r="G195" i="5"/>
  <c r="K195" i="5"/>
  <c r="Q195" i="5"/>
  <c r="V195" i="5"/>
  <c r="C196" i="5"/>
  <c r="D196" i="5"/>
  <c r="E196" i="5"/>
  <c r="F196" i="5"/>
  <c r="AC196" i="5" s="1"/>
  <c r="G196" i="5"/>
  <c r="K196" i="5"/>
  <c r="Q196" i="5"/>
  <c r="V196" i="5"/>
  <c r="C197" i="5"/>
  <c r="D197" i="5"/>
  <c r="E197" i="5"/>
  <c r="F197" i="5"/>
  <c r="AC197" i="5" s="1"/>
  <c r="G197" i="5"/>
  <c r="K197" i="5"/>
  <c r="Q197" i="5"/>
  <c r="V197" i="5"/>
  <c r="C198" i="5"/>
  <c r="D198" i="5"/>
  <c r="E198" i="5"/>
  <c r="F198" i="5"/>
  <c r="AC198" i="5" s="1"/>
  <c r="G198" i="5"/>
  <c r="K198" i="5"/>
  <c r="Q198" i="5"/>
  <c r="V198" i="5"/>
  <c r="C199" i="5"/>
  <c r="D199" i="5"/>
  <c r="E199" i="5"/>
  <c r="F199" i="5"/>
  <c r="AC199" i="5" s="1"/>
  <c r="G199" i="5"/>
  <c r="K199" i="5"/>
  <c r="Q199" i="5"/>
  <c r="V199" i="5"/>
  <c r="C200" i="5"/>
  <c r="D200" i="5"/>
  <c r="E200" i="5"/>
  <c r="F200" i="5"/>
  <c r="AC200" i="5" s="1"/>
  <c r="G200" i="5"/>
  <c r="K200" i="5"/>
  <c r="Q200" i="5"/>
  <c r="V200" i="5"/>
  <c r="C201" i="5"/>
  <c r="D201" i="5"/>
  <c r="E201" i="5"/>
  <c r="F201" i="5"/>
  <c r="AC201" i="5" s="1"/>
  <c r="G201" i="5"/>
  <c r="K201" i="5"/>
  <c r="Q201" i="5"/>
  <c r="V201" i="5"/>
  <c r="C202" i="5"/>
  <c r="D202" i="5"/>
  <c r="E202" i="5"/>
  <c r="F202" i="5"/>
  <c r="AC202" i="5" s="1"/>
  <c r="G202" i="5"/>
  <c r="K202" i="5"/>
  <c r="Q202" i="5"/>
  <c r="V202" i="5"/>
  <c r="C203" i="5"/>
  <c r="D203" i="5"/>
  <c r="E203" i="5"/>
  <c r="F203" i="5"/>
  <c r="AC203" i="5" s="1"/>
  <c r="G203" i="5"/>
  <c r="K203" i="5"/>
  <c r="Q203" i="5"/>
  <c r="V203" i="5"/>
  <c r="C204" i="5"/>
  <c r="D204" i="5"/>
  <c r="E204" i="5"/>
  <c r="F204" i="5"/>
  <c r="AC204" i="5" s="1"/>
  <c r="G204" i="5"/>
  <c r="K204" i="5"/>
  <c r="Q204" i="5"/>
  <c r="V204" i="5"/>
  <c r="C205" i="5"/>
  <c r="D205" i="5"/>
  <c r="E205" i="5"/>
  <c r="F205" i="5"/>
  <c r="AC205" i="5" s="1"/>
  <c r="G205" i="5"/>
  <c r="K205" i="5"/>
  <c r="Q205" i="5"/>
  <c r="V205" i="5"/>
  <c r="C206" i="5"/>
  <c r="D206" i="5"/>
  <c r="E206" i="5"/>
  <c r="F206" i="5"/>
  <c r="AC206" i="5" s="1"/>
  <c r="G206" i="5"/>
  <c r="K206" i="5"/>
  <c r="Q206" i="5"/>
  <c r="V206" i="5"/>
  <c r="C207" i="5"/>
  <c r="D207" i="5"/>
  <c r="E207" i="5"/>
  <c r="F207" i="5"/>
  <c r="AC207" i="5" s="1"/>
  <c r="G207" i="5"/>
  <c r="K207" i="5"/>
  <c r="Q207" i="5"/>
  <c r="V207" i="5"/>
  <c r="C208" i="5"/>
  <c r="D208" i="5"/>
  <c r="E208" i="5"/>
  <c r="F208" i="5"/>
  <c r="AC208" i="5" s="1"/>
  <c r="G208" i="5"/>
  <c r="K208" i="5"/>
  <c r="Q208" i="5"/>
  <c r="V208" i="5"/>
  <c r="C209" i="5"/>
  <c r="D209" i="5"/>
  <c r="E209" i="5"/>
  <c r="F209" i="5"/>
  <c r="AC209" i="5" s="1"/>
  <c r="G209" i="5"/>
  <c r="K209" i="5"/>
  <c r="Q209" i="5"/>
  <c r="V209" i="5"/>
  <c r="C210" i="5"/>
  <c r="D210" i="5"/>
  <c r="E210" i="5"/>
  <c r="F210" i="5"/>
  <c r="AC210" i="5" s="1"/>
  <c r="G210" i="5"/>
  <c r="K210" i="5"/>
  <c r="Q210" i="5"/>
  <c r="V210" i="5"/>
  <c r="C211" i="5"/>
  <c r="D211" i="5"/>
  <c r="E211" i="5"/>
  <c r="F211" i="5"/>
  <c r="AC211" i="5" s="1"/>
  <c r="G211" i="5"/>
  <c r="K211" i="5"/>
  <c r="Q211" i="5"/>
  <c r="V211" i="5"/>
  <c r="C212" i="5"/>
  <c r="D212" i="5"/>
  <c r="E212" i="5"/>
  <c r="F212" i="5"/>
  <c r="AC212" i="5" s="1"/>
  <c r="G212" i="5"/>
  <c r="K212" i="5"/>
  <c r="Q212" i="5"/>
  <c r="V212" i="5"/>
  <c r="C213" i="5"/>
  <c r="D213" i="5"/>
  <c r="E213" i="5"/>
  <c r="F213" i="5"/>
  <c r="AC213" i="5" s="1"/>
  <c r="G213" i="5"/>
  <c r="K213" i="5"/>
  <c r="Q213" i="5"/>
  <c r="V213" i="5"/>
  <c r="C214" i="5"/>
  <c r="D214" i="5"/>
  <c r="E214" i="5"/>
  <c r="F214" i="5"/>
  <c r="AC214" i="5" s="1"/>
  <c r="G214" i="5"/>
  <c r="K214" i="5"/>
  <c r="Q214" i="5"/>
  <c r="V214" i="5"/>
  <c r="C215" i="5"/>
  <c r="D215" i="5"/>
  <c r="E215" i="5"/>
  <c r="F215" i="5"/>
  <c r="AC215" i="5" s="1"/>
  <c r="G215" i="5"/>
  <c r="K215" i="5"/>
  <c r="Q215" i="5"/>
  <c r="V215" i="5"/>
  <c r="C216" i="5"/>
  <c r="D216" i="5"/>
  <c r="E216" i="5"/>
  <c r="F216" i="5"/>
  <c r="AC216" i="5" s="1"/>
  <c r="G216" i="5"/>
  <c r="K216" i="5"/>
  <c r="Q216" i="5"/>
  <c r="V216" i="5"/>
  <c r="T220" i="5"/>
  <c r="C221" i="5"/>
  <c r="D221" i="5"/>
  <c r="E221" i="5"/>
  <c r="F221" i="5"/>
  <c r="G221" i="5"/>
  <c r="K221" i="5"/>
  <c r="Q221" i="5"/>
  <c r="V221" i="5"/>
  <c r="C223" i="5"/>
  <c r="D223" i="5"/>
  <c r="E223" i="5"/>
  <c r="F223" i="5"/>
  <c r="G223" i="5"/>
  <c r="K223" i="5"/>
  <c r="Q223" i="5"/>
  <c r="V223" i="5"/>
  <c r="C224" i="5"/>
  <c r="D224" i="5"/>
  <c r="E224" i="5"/>
  <c r="F224" i="5"/>
  <c r="AC224" i="5" s="1"/>
  <c r="G224" i="5"/>
  <c r="K224" i="5"/>
  <c r="Q224" i="5"/>
  <c r="V224" i="5"/>
  <c r="C225" i="5"/>
  <c r="D225" i="5"/>
  <c r="E225" i="5"/>
  <c r="F225" i="5"/>
  <c r="AC225" i="5" s="1"/>
  <c r="G225" i="5"/>
  <c r="K225" i="5"/>
  <c r="Q225" i="5"/>
  <c r="V225" i="5"/>
  <c r="C226" i="5"/>
  <c r="D226" i="5"/>
  <c r="E226" i="5"/>
  <c r="F226" i="5"/>
  <c r="AC226" i="5" s="1"/>
  <c r="G226" i="5"/>
  <c r="K226" i="5"/>
  <c r="Q226" i="5"/>
  <c r="V226" i="5"/>
  <c r="C227" i="5"/>
  <c r="D227" i="5"/>
  <c r="E227" i="5"/>
  <c r="F227" i="5"/>
  <c r="AC227" i="5" s="1"/>
  <c r="G227" i="5"/>
  <c r="K227" i="5"/>
  <c r="Q227" i="5"/>
  <c r="V227" i="5"/>
  <c r="C228" i="5"/>
  <c r="D228" i="5"/>
  <c r="E228" i="5"/>
  <c r="F228" i="5"/>
  <c r="AC228" i="5" s="1"/>
  <c r="G228" i="5"/>
  <c r="K228" i="5"/>
  <c r="Q228" i="5"/>
  <c r="V228" i="5"/>
  <c r="C229" i="5"/>
  <c r="D229" i="5"/>
  <c r="E229" i="5"/>
  <c r="F229" i="5"/>
  <c r="AC229" i="5" s="1"/>
  <c r="G229" i="5"/>
  <c r="K229" i="5"/>
  <c r="Q229" i="5"/>
  <c r="V229" i="5"/>
  <c r="C230" i="5"/>
  <c r="D230" i="5"/>
  <c r="E230" i="5"/>
  <c r="F230" i="5"/>
  <c r="AC230" i="5" s="1"/>
  <c r="G230" i="5"/>
  <c r="K230" i="5"/>
  <c r="Q230" i="5"/>
  <c r="V230" i="5"/>
  <c r="C231" i="5"/>
  <c r="D231" i="5"/>
  <c r="E231" i="5"/>
  <c r="F231" i="5"/>
  <c r="AC231" i="5" s="1"/>
  <c r="G231" i="5"/>
  <c r="K231" i="5"/>
  <c r="Q231" i="5"/>
  <c r="V231" i="5"/>
  <c r="C232" i="5"/>
  <c r="D232" i="5"/>
  <c r="E232" i="5"/>
  <c r="F232" i="5"/>
  <c r="AC232" i="5" s="1"/>
  <c r="G232" i="5"/>
  <c r="K232" i="5"/>
  <c r="Q232" i="5"/>
  <c r="V232" i="5"/>
  <c r="C233" i="5"/>
  <c r="D233" i="5"/>
  <c r="E233" i="5"/>
  <c r="F233" i="5"/>
  <c r="AC233" i="5" s="1"/>
  <c r="G233" i="5"/>
  <c r="K233" i="5"/>
  <c r="Q233" i="5"/>
  <c r="V233" i="5"/>
  <c r="C234" i="5"/>
  <c r="D234" i="5"/>
  <c r="E234" i="5"/>
  <c r="F234" i="5"/>
  <c r="AC234" i="5" s="1"/>
  <c r="G234" i="5"/>
  <c r="K234" i="5"/>
  <c r="Q234" i="5"/>
  <c r="V234" i="5"/>
  <c r="C235" i="5"/>
  <c r="D235" i="5"/>
  <c r="E235" i="5"/>
  <c r="F235" i="5"/>
  <c r="AC235" i="5" s="1"/>
  <c r="G235" i="5"/>
  <c r="K235" i="5"/>
  <c r="Q235" i="5"/>
  <c r="V235" i="5"/>
  <c r="C236" i="5"/>
  <c r="D236" i="5"/>
  <c r="E236" i="5"/>
  <c r="F236" i="5"/>
  <c r="AC236" i="5" s="1"/>
  <c r="G236" i="5"/>
  <c r="K236" i="5"/>
  <c r="Q236" i="5"/>
  <c r="V236" i="5"/>
  <c r="C237" i="5"/>
  <c r="D237" i="5"/>
  <c r="E237" i="5"/>
  <c r="F237" i="5"/>
  <c r="AC237" i="5" s="1"/>
  <c r="G237" i="5"/>
  <c r="K237" i="5"/>
  <c r="Q237" i="5"/>
  <c r="V237" i="5"/>
  <c r="C238" i="5"/>
  <c r="D238" i="5"/>
  <c r="E238" i="5"/>
  <c r="F238" i="5"/>
  <c r="AC238" i="5" s="1"/>
  <c r="G238" i="5"/>
  <c r="K238" i="5"/>
  <c r="Q238" i="5"/>
  <c r="V238" i="5"/>
  <c r="C239" i="5"/>
  <c r="D239" i="5"/>
  <c r="E239" i="5"/>
  <c r="F239" i="5"/>
  <c r="AC239" i="5" s="1"/>
  <c r="G239" i="5"/>
  <c r="K239" i="5"/>
  <c r="Q239" i="5"/>
  <c r="V239" i="5"/>
  <c r="C240" i="5"/>
  <c r="D240" i="5"/>
  <c r="E240" i="5"/>
  <c r="F240" i="5"/>
  <c r="AC240" i="5" s="1"/>
  <c r="G240" i="5"/>
  <c r="K240" i="5"/>
  <c r="Q240" i="5"/>
  <c r="V240" i="5"/>
  <c r="C241" i="5"/>
  <c r="D241" i="5"/>
  <c r="E241" i="5"/>
  <c r="F241" i="5"/>
  <c r="AC241" i="5" s="1"/>
  <c r="G241" i="5"/>
  <c r="K241" i="5"/>
  <c r="Q241" i="5"/>
  <c r="V241" i="5"/>
  <c r="C242" i="5"/>
  <c r="D242" i="5"/>
  <c r="E242" i="5"/>
  <c r="F242" i="5"/>
  <c r="AC242" i="5" s="1"/>
  <c r="G242" i="5"/>
  <c r="K242" i="5"/>
  <c r="Q242" i="5"/>
  <c r="V242" i="5"/>
  <c r="C243" i="5"/>
  <c r="D243" i="5"/>
  <c r="E243" i="5"/>
  <c r="F243" i="5"/>
  <c r="AC243" i="5" s="1"/>
  <c r="G243" i="5"/>
  <c r="K243" i="5"/>
  <c r="Q243" i="5"/>
  <c r="V243" i="5"/>
  <c r="C244" i="5"/>
  <c r="D244" i="5"/>
  <c r="E244" i="5"/>
  <c r="F244" i="5"/>
  <c r="AC244" i="5" s="1"/>
  <c r="G244" i="5"/>
  <c r="K244" i="5"/>
  <c r="Q244" i="5"/>
  <c r="V244" i="5"/>
  <c r="C245" i="5"/>
  <c r="D245" i="5"/>
  <c r="E245" i="5"/>
  <c r="F245" i="5"/>
  <c r="AC245" i="5" s="1"/>
  <c r="G245" i="5"/>
  <c r="K245" i="5"/>
  <c r="Q245" i="5"/>
  <c r="V245" i="5"/>
  <c r="C246" i="5"/>
  <c r="D246" i="5"/>
  <c r="E246" i="5"/>
  <c r="F246" i="5"/>
  <c r="AC246" i="5" s="1"/>
  <c r="G246" i="5"/>
  <c r="K246" i="5"/>
  <c r="Q246" i="5"/>
  <c r="V246" i="5"/>
  <c r="C247" i="5"/>
  <c r="D247" i="5"/>
  <c r="E247" i="5"/>
  <c r="F247" i="5"/>
  <c r="AC247" i="5" s="1"/>
  <c r="G247" i="5"/>
  <c r="K247" i="5"/>
  <c r="Q247" i="5"/>
  <c r="V247" i="5"/>
  <c r="C248" i="5"/>
  <c r="D248" i="5"/>
  <c r="E248" i="5"/>
  <c r="F248" i="5"/>
  <c r="AC248" i="5" s="1"/>
  <c r="G248" i="5"/>
  <c r="K248" i="5"/>
  <c r="Q248" i="5"/>
  <c r="V248" i="5"/>
  <c r="C249" i="5"/>
  <c r="D249" i="5"/>
  <c r="E249" i="5"/>
  <c r="F249" i="5"/>
  <c r="AC249" i="5" s="1"/>
  <c r="G249" i="5"/>
  <c r="K249" i="5"/>
  <c r="Q249" i="5"/>
  <c r="V249" i="5"/>
  <c r="C250" i="5"/>
  <c r="D250" i="5"/>
  <c r="E250" i="5"/>
  <c r="F250" i="5"/>
  <c r="AC250" i="5" s="1"/>
  <c r="G250" i="5"/>
  <c r="K250" i="5"/>
  <c r="Q250" i="5"/>
  <c r="V250" i="5"/>
  <c r="C251" i="5"/>
  <c r="D251" i="5"/>
  <c r="E251" i="5"/>
  <c r="F251" i="5"/>
  <c r="G251" i="5"/>
  <c r="K251" i="5"/>
  <c r="Q251" i="5"/>
  <c r="V251" i="5"/>
  <c r="AC135" i="5" l="1"/>
  <c r="AE135" i="5"/>
  <c r="M16" i="57"/>
  <c r="V53" i="5"/>
  <c r="J26" i="57"/>
  <c r="Q53" i="5"/>
  <c r="AD53" i="5"/>
  <c r="AE53" i="5" s="1"/>
  <c r="AF53" i="5" s="1"/>
  <c r="K53" i="5"/>
  <c r="F6" i="57" s="1"/>
  <c r="Z53" i="5"/>
  <c r="AC53" i="5" s="1"/>
  <c r="H53" i="5"/>
  <c r="AI53" i="5"/>
  <c r="AH53" i="5"/>
  <c r="AJ53" i="5"/>
  <c r="C51" i="5"/>
  <c r="J31" i="57"/>
  <c r="AD58" i="5"/>
  <c r="J30" i="57"/>
  <c r="AD57" i="5"/>
  <c r="J29" i="57"/>
  <c r="K29" i="57" s="1"/>
  <c r="AD56" i="5"/>
  <c r="M8" i="57"/>
  <c r="F24" i="57"/>
  <c r="V22" i="57"/>
  <c r="V3" i="57"/>
  <c r="X3" i="57" s="1"/>
  <c r="F23" i="57"/>
  <c r="G23" i="57" s="1"/>
  <c r="U12" i="57"/>
  <c r="D22" i="57"/>
  <c r="M9" i="57"/>
  <c r="F15" i="57"/>
  <c r="V23" i="57"/>
  <c r="V21" i="57"/>
  <c r="F14" i="57"/>
  <c r="F13" i="57"/>
  <c r="V2" i="57"/>
  <c r="X9" i="57"/>
  <c r="AI83" i="5"/>
  <c r="I28" i="57" s="1"/>
  <c r="D28" i="57"/>
  <c r="AI81" i="5"/>
  <c r="I26" i="57" s="1"/>
  <c r="D26" i="57"/>
  <c r="U14" i="57"/>
  <c r="V18" i="57"/>
  <c r="F17" i="57"/>
  <c r="V13" i="57"/>
  <c r="F16" i="57"/>
  <c r="AI64" i="5"/>
  <c r="I13" i="57" s="1"/>
  <c r="U2" i="57"/>
  <c r="D13" i="57"/>
  <c r="AI63" i="5"/>
  <c r="I12" i="57" s="1"/>
  <c r="U10" i="57"/>
  <c r="D12" i="57"/>
  <c r="AI79" i="5"/>
  <c r="I24" i="57" s="1"/>
  <c r="U22" i="57"/>
  <c r="D24" i="57"/>
  <c r="AI67" i="5"/>
  <c r="I16" i="57" s="1"/>
  <c r="D16" i="57"/>
  <c r="U13" i="57"/>
  <c r="AI69" i="5"/>
  <c r="I18" i="57" s="1"/>
  <c r="U6" i="57"/>
  <c r="D18" i="57"/>
  <c r="K18" i="57" s="1"/>
  <c r="U18" i="57"/>
  <c r="D17" i="57"/>
  <c r="D15" i="57"/>
  <c r="U23" i="57"/>
  <c r="V8" i="57"/>
  <c r="F31" i="57"/>
  <c r="K57" i="5"/>
  <c r="F10" i="57" s="1"/>
  <c r="F30" i="57"/>
  <c r="V5" i="57"/>
  <c r="V17" i="57"/>
  <c r="F29" i="57"/>
  <c r="G29" i="57" s="1"/>
  <c r="M32" i="57"/>
  <c r="M10" i="57"/>
  <c r="F56" i="5"/>
  <c r="U15" i="57"/>
  <c r="D19" i="57"/>
  <c r="F18" i="57"/>
  <c r="V6" i="57"/>
  <c r="M2" i="57"/>
  <c r="V15" i="57"/>
  <c r="F19" i="57"/>
  <c r="AI65" i="5"/>
  <c r="I14" i="57" s="1"/>
  <c r="U21" i="57"/>
  <c r="D14" i="57"/>
  <c r="D31" i="57"/>
  <c r="U8" i="57"/>
  <c r="AC85" i="5"/>
  <c r="U5" i="57"/>
  <c r="D30" i="57"/>
  <c r="F22" i="57"/>
  <c r="V12" i="57"/>
  <c r="V52" i="5"/>
  <c r="M15" i="57"/>
  <c r="M5" i="57" s="1"/>
  <c r="M4" i="57"/>
  <c r="M3" i="57"/>
  <c r="AD49" i="5"/>
  <c r="J12" i="57"/>
  <c r="V54" i="5"/>
  <c r="M17" i="57"/>
  <c r="M7" i="57" s="1"/>
  <c r="M6" i="57"/>
  <c r="Z49" i="5"/>
  <c r="F12" i="57"/>
  <c r="V10" i="57"/>
  <c r="AC179" i="5"/>
  <c r="C19" i="55"/>
  <c r="AC174" i="5"/>
  <c r="C15" i="55"/>
  <c r="AC171" i="5"/>
  <c r="C37" i="55"/>
  <c r="AC168" i="5"/>
  <c r="C32" i="55"/>
  <c r="AC165" i="5"/>
  <c r="C40" i="55"/>
  <c r="AC162" i="5"/>
  <c r="C25" i="55"/>
  <c r="AC159" i="5"/>
  <c r="C27" i="55"/>
  <c r="AC156" i="5"/>
  <c r="C18" i="55"/>
  <c r="AC154" i="5"/>
  <c r="C34" i="55"/>
  <c r="AC151" i="5"/>
  <c r="C35" i="55"/>
  <c r="AC6" i="5"/>
  <c r="C8" i="55"/>
  <c r="AC181" i="5"/>
  <c r="C36" i="55"/>
  <c r="AC180" i="5"/>
  <c r="C22" i="55"/>
  <c r="AC176" i="5"/>
  <c r="C14" i="55"/>
  <c r="AC175" i="5"/>
  <c r="C43" i="55"/>
  <c r="AC173" i="5"/>
  <c r="C26" i="55"/>
  <c r="AC172" i="5"/>
  <c r="C20" i="55"/>
  <c r="AC170" i="5"/>
  <c r="C16" i="55"/>
  <c r="AC169" i="5"/>
  <c r="C33" i="55"/>
  <c r="AC167" i="5"/>
  <c r="C41" i="55"/>
  <c r="AC166" i="5"/>
  <c r="C24" i="55"/>
  <c r="AC164" i="5"/>
  <c r="C23" i="55"/>
  <c r="AC163" i="5"/>
  <c r="C17" i="55"/>
  <c r="AC161" i="5"/>
  <c r="C39" i="55"/>
  <c r="AC160" i="5"/>
  <c r="C28" i="55"/>
  <c r="AC158" i="5"/>
  <c r="C31" i="55"/>
  <c r="AC157" i="5"/>
  <c r="C30" i="55"/>
  <c r="AC155" i="5"/>
  <c r="C29" i="55"/>
  <c r="AC153" i="5"/>
  <c r="C38" i="55"/>
  <c r="AC178" i="5"/>
  <c r="C42" i="55"/>
  <c r="AC177" i="5"/>
  <c r="C21" i="55"/>
  <c r="AC10" i="5"/>
  <c r="C12" i="55"/>
  <c r="AC8" i="5"/>
  <c r="C10" i="55"/>
  <c r="Q49" i="5"/>
  <c r="J2" i="57" s="1"/>
  <c r="G49" i="5"/>
  <c r="K49" i="5"/>
  <c r="F2" i="57" s="1"/>
  <c r="E49" i="5"/>
  <c r="G56" i="5"/>
  <c r="D49" i="5"/>
  <c r="AI66" i="5"/>
  <c r="I15" i="57" s="1"/>
  <c r="Q56" i="5"/>
  <c r="J9" i="57" s="1"/>
  <c r="AI68" i="5"/>
  <c r="I17" i="57" s="1"/>
  <c r="F54" i="5"/>
  <c r="K56" i="5"/>
  <c r="F9" i="57" s="1"/>
  <c r="Z56" i="5"/>
  <c r="Z54" i="5"/>
  <c r="K54" i="5"/>
  <c r="F7" i="57" s="1"/>
  <c r="V49" i="5"/>
  <c r="AD52" i="5"/>
  <c r="Q52" i="5"/>
  <c r="J5" i="57" s="1"/>
  <c r="F49" i="5"/>
  <c r="D2" i="57" s="1"/>
  <c r="V56" i="5"/>
  <c r="Q54" i="5"/>
  <c r="J7" i="57" s="1"/>
  <c r="AD54" i="5"/>
  <c r="K52" i="5"/>
  <c r="F5" i="57" s="1"/>
  <c r="C12" i="5"/>
  <c r="V58" i="5"/>
  <c r="AC146" i="5"/>
  <c r="D58" i="5"/>
  <c r="D57" i="5"/>
  <c r="V87" i="5"/>
  <c r="AI70" i="5"/>
  <c r="I19" i="57" s="1"/>
  <c r="AI77" i="5"/>
  <c r="I22" i="57" s="1"/>
  <c r="F87" i="5"/>
  <c r="AI87" i="5" s="1"/>
  <c r="E87" i="5"/>
  <c r="D87" i="5"/>
  <c r="C87" i="5"/>
  <c r="AI84" i="5"/>
  <c r="I29" i="57" s="1"/>
  <c r="C58" i="5"/>
  <c r="AI86" i="5"/>
  <c r="I31" i="57" s="1"/>
  <c r="AC86" i="5"/>
  <c r="V57" i="5"/>
  <c r="AI85" i="5"/>
  <c r="I30" i="57" s="1"/>
  <c r="V51" i="5"/>
  <c r="V50" i="5"/>
  <c r="V55" i="5"/>
  <c r="AC252" i="5"/>
  <c r="AC217" i="5"/>
  <c r="AC130" i="5"/>
  <c r="AC144" i="5"/>
  <c r="W7" i="57" s="1"/>
  <c r="AC136" i="5"/>
  <c r="AC118" i="5"/>
  <c r="AC107" i="5"/>
  <c r="AA6" i="5"/>
  <c r="AB6" i="5" s="1"/>
  <c r="AC22" i="5"/>
  <c r="AC77" i="5"/>
  <c r="AC64" i="5"/>
  <c r="AC63" i="5"/>
  <c r="AC81" i="5"/>
  <c r="AC80" i="5"/>
  <c r="AC79" i="5"/>
  <c r="AC67" i="5"/>
  <c r="AC66" i="5"/>
  <c r="AC65" i="5"/>
  <c r="AC83" i="5"/>
  <c r="H28" i="57" s="1"/>
  <c r="AC82" i="5"/>
  <c r="AC69" i="5"/>
  <c r="AC68" i="5"/>
  <c r="AC84" i="5"/>
  <c r="AC70" i="5"/>
  <c r="F57" i="5"/>
  <c r="AC32" i="5"/>
  <c r="D55" i="5"/>
  <c r="D51" i="5"/>
  <c r="C50" i="5"/>
  <c r="E57" i="5"/>
  <c r="E55" i="5"/>
  <c r="F55" i="5"/>
  <c r="F51" i="5"/>
  <c r="E50" i="5"/>
  <c r="F58" i="5"/>
  <c r="E51" i="5"/>
  <c r="D50" i="5"/>
  <c r="G51" i="5"/>
  <c r="F50" i="5"/>
  <c r="G58" i="5"/>
  <c r="Z50" i="5"/>
  <c r="K50" i="5"/>
  <c r="F3" i="57" s="1"/>
  <c r="E58" i="5"/>
  <c r="Z51" i="5"/>
  <c r="K51" i="5"/>
  <c r="F4" i="57" s="1"/>
  <c r="C55" i="5"/>
  <c r="Z55" i="5"/>
  <c r="K55" i="5"/>
  <c r="F8" i="57" s="1"/>
  <c r="Z58" i="5"/>
  <c r="K58" i="5"/>
  <c r="F11" i="57" s="1"/>
  <c r="Z57" i="5"/>
  <c r="Q22" i="5"/>
  <c r="G12" i="5"/>
  <c r="Q136" i="5"/>
  <c r="J207" i="5"/>
  <c r="K136" i="5"/>
  <c r="J195" i="5"/>
  <c r="J162" i="5"/>
  <c r="H85" i="5"/>
  <c r="H9" i="5"/>
  <c r="H143" i="5"/>
  <c r="H251" i="5"/>
  <c r="J160" i="5"/>
  <c r="J205" i="5"/>
  <c r="J107" i="5"/>
  <c r="H81" i="5"/>
  <c r="N81" i="5" s="1"/>
  <c r="J158" i="5"/>
  <c r="H186" i="5"/>
  <c r="U230" i="5"/>
  <c r="H140" i="5"/>
  <c r="H199" i="5"/>
  <c r="H105" i="5"/>
  <c r="H72" i="5"/>
  <c r="H243" i="5"/>
  <c r="D144" i="5"/>
  <c r="E136" i="5"/>
  <c r="G118" i="5"/>
  <c r="H100" i="5"/>
  <c r="J86" i="5"/>
  <c r="AH86" i="5" s="1"/>
  <c r="E31" i="57" s="1"/>
  <c r="J66" i="5"/>
  <c r="AH66" i="5" s="1"/>
  <c r="E15" i="57" s="1"/>
  <c r="U86" i="5"/>
  <c r="AJ86" i="5" s="1"/>
  <c r="L31" i="57" s="1"/>
  <c r="G130" i="5"/>
  <c r="J245" i="5"/>
  <c r="J230" i="5"/>
  <c r="J211" i="5"/>
  <c r="J204" i="5"/>
  <c r="J164" i="5"/>
  <c r="H163" i="5"/>
  <c r="G136" i="5"/>
  <c r="H16" i="5"/>
  <c r="AA207" i="5"/>
  <c r="AE207" i="5"/>
  <c r="AA188" i="5"/>
  <c r="AE188" i="5"/>
  <c r="AE84" i="5"/>
  <c r="AA84" i="5"/>
  <c r="AE228" i="5"/>
  <c r="AA228" i="5"/>
  <c r="AA201" i="5"/>
  <c r="AE201" i="5"/>
  <c r="AE186" i="5"/>
  <c r="AA186" i="5"/>
  <c r="H168" i="5"/>
  <c r="O168" i="5" s="1"/>
  <c r="AA168" i="5"/>
  <c r="AE168" i="5"/>
  <c r="AA175" i="5"/>
  <c r="AE175" i="5"/>
  <c r="AA143" i="5"/>
  <c r="AE143" i="5"/>
  <c r="AA72" i="5"/>
  <c r="AE72" i="5"/>
  <c r="H66" i="5"/>
  <c r="AA66" i="5"/>
  <c r="AE66" i="5"/>
  <c r="H231" i="5"/>
  <c r="AE231" i="5"/>
  <c r="AA231" i="5"/>
  <c r="H210" i="5"/>
  <c r="O210" i="5" s="1"/>
  <c r="AE210" i="5"/>
  <c r="AA210" i="5"/>
  <c r="AA199" i="5"/>
  <c r="AE199" i="5"/>
  <c r="AE166" i="5"/>
  <c r="AA166" i="5"/>
  <c r="AE126" i="5"/>
  <c r="AA126" i="5"/>
  <c r="AA81" i="5"/>
  <c r="AE81" i="5"/>
  <c r="AE71" i="5"/>
  <c r="AA71" i="5"/>
  <c r="H20" i="5"/>
  <c r="AE20" i="5"/>
  <c r="AA20" i="5"/>
  <c r="AA11" i="5"/>
  <c r="AB11" i="5" s="1"/>
  <c r="AE11" i="5"/>
  <c r="AF11" i="5" s="1"/>
  <c r="AE7" i="5"/>
  <c r="AF7" i="5" s="1"/>
  <c r="AB7" i="5"/>
  <c r="AE250" i="5"/>
  <c r="AA250" i="5"/>
  <c r="H244" i="5"/>
  <c r="AE244" i="5"/>
  <c r="AA244" i="5"/>
  <c r="U241" i="5"/>
  <c r="AA238" i="5"/>
  <c r="AE238" i="5"/>
  <c r="H225" i="5"/>
  <c r="AE225" i="5"/>
  <c r="AA225" i="5"/>
  <c r="U217" i="5"/>
  <c r="AA215" i="5"/>
  <c r="AE215" i="5"/>
  <c r="U211" i="5"/>
  <c r="AE209" i="5"/>
  <c r="AA209" i="5"/>
  <c r="AA205" i="5"/>
  <c r="AE205" i="5"/>
  <c r="H198" i="5"/>
  <c r="AA198" i="5"/>
  <c r="AE198" i="5"/>
  <c r="AE192" i="5"/>
  <c r="AA192" i="5"/>
  <c r="AA181" i="5"/>
  <c r="AE181" i="5"/>
  <c r="AE173" i="5"/>
  <c r="AA173" i="5"/>
  <c r="AA162" i="5"/>
  <c r="AE162" i="5"/>
  <c r="H158" i="5"/>
  <c r="AA158" i="5"/>
  <c r="AE158" i="5"/>
  <c r="H125" i="5"/>
  <c r="O125" i="5" s="1"/>
  <c r="AA125" i="5"/>
  <c r="AE125" i="5"/>
  <c r="AF125" i="5" s="1"/>
  <c r="AE115" i="5"/>
  <c r="AA115" i="5"/>
  <c r="H114" i="5"/>
  <c r="O114" i="5" s="1"/>
  <c r="AA105" i="5"/>
  <c r="AE105" i="5"/>
  <c r="H80" i="5"/>
  <c r="AA80" i="5"/>
  <c r="AE80" i="5"/>
  <c r="AE70" i="5"/>
  <c r="AA70" i="5"/>
  <c r="D73" i="5"/>
  <c r="AA64" i="5"/>
  <c r="AE64" i="5"/>
  <c r="AE29" i="5"/>
  <c r="AA29" i="5"/>
  <c r="AE19" i="5"/>
  <c r="AA19" i="5"/>
  <c r="AE246" i="5"/>
  <c r="AA246" i="5"/>
  <c r="AA177" i="5"/>
  <c r="AE177" i="5"/>
  <c r="AE101" i="5"/>
  <c r="AA101" i="5"/>
  <c r="AE241" i="5"/>
  <c r="AA241" i="5"/>
  <c r="H176" i="5"/>
  <c r="O176" i="5" s="1"/>
  <c r="AA176" i="5"/>
  <c r="AE176" i="5"/>
  <c r="AE163" i="5"/>
  <c r="AA163" i="5"/>
  <c r="AE83" i="5"/>
  <c r="AA83" i="5"/>
  <c r="AE8" i="5"/>
  <c r="AF8" i="5" s="1"/>
  <c r="AA8" i="5"/>
  <c r="AB8" i="5" s="1"/>
  <c r="U207" i="5"/>
  <c r="AE200" i="5"/>
  <c r="AA200" i="5"/>
  <c r="U144" i="5"/>
  <c r="AA135" i="5"/>
  <c r="AE127" i="5"/>
  <c r="AA127" i="5"/>
  <c r="AA82" i="5"/>
  <c r="AE82" i="5"/>
  <c r="AA21" i="5"/>
  <c r="AE21" i="5"/>
  <c r="AF21" i="5" s="1"/>
  <c r="AA245" i="5"/>
  <c r="AE245" i="5"/>
  <c r="H216" i="5"/>
  <c r="AE216" i="5"/>
  <c r="AA216" i="5"/>
  <c r="F136" i="5"/>
  <c r="AA134" i="5"/>
  <c r="AE134" i="5"/>
  <c r="AE30" i="5"/>
  <c r="AA30" i="5"/>
  <c r="H249" i="5"/>
  <c r="AE249" i="5"/>
  <c r="AA249" i="5"/>
  <c r="AA237" i="5"/>
  <c r="AE237" i="5"/>
  <c r="AE224" i="5"/>
  <c r="AA224" i="5"/>
  <c r="H214" i="5"/>
  <c r="O214" i="5" s="1"/>
  <c r="AA214" i="5"/>
  <c r="AE214" i="5"/>
  <c r="AE208" i="5"/>
  <c r="AA208" i="5"/>
  <c r="AA197" i="5"/>
  <c r="AE197" i="5"/>
  <c r="AA191" i="5"/>
  <c r="AB191" i="5" s="1"/>
  <c r="AE191" i="5"/>
  <c r="H180" i="5"/>
  <c r="AE180" i="5"/>
  <c r="AA180" i="5"/>
  <c r="AE172" i="5"/>
  <c r="AA172" i="5"/>
  <c r="H165" i="5"/>
  <c r="AA165" i="5"/>
  <c r="AE165" i="5"/>
  <c r="AA161" i="5"/>
  <c r="AE161" i="5"/>
  <c r="AE157" i="5"/>
  <c r="AA157" i="5"/>
  <c r="AE141" i="5"/>
  <c r="AA141" i="5"/>
  <c r="AE114" i="5"/>
  <c r="AA114" i="5"/>
  <c r="H104" i="5"/>
  <c r="O104" i="5" s="1"/>
  <c r="AA104" i="5"/>
  <c r="AE104" i="5"/>
  <c r="AE79" i="5"/>
  <c r="AA79" i="5"/>
  <c r="AE69" i="5"/>
  <c r="AA69" i="5"/>
  <c r="AA63" i="5"/>
  <c r="AE63" i="5"/>
  <c r="H28" i="5"/>
  <c r="AA28" i="5"/>
  <c r="AE28" i="5"/>
  <c r="AE18" i="5"/>
  <c r="AA18" i="5"/>
  <c r="AA10" i="5"/>
  <c r="AB10" i="5" s="1"/>
  <c r="AE10" i="5"/>
  <c r="AF10" i="5" s="1"/>
  <c r="AA202" i="5"/>
  <c r="AE202" i="5"/>
  <c r="H169" i="5"/>
  <c r="AA169" i="5"/>
  <c r="AE169" i="5"/>
  <c r="AE155" i="5"/>
  <c r="AA155" i="5"/>
  <c r="H128" i="5"/>
  <c r="AE128" i="5"/>
  <c r="AA128" i="5"/>
  <c r="H195" i="5"/>
  <c r="AA195" i="5"/>
  <c r="AE195" i="5"/>
  <c r="AA159" i="5"/>
  <c r="AE159" i="5"/>
  <c r="AE100" i="5"/>
  <c r="AA100" i="5"/>
  <c r="H240" i="5"/>
  <c r="O240" i="5" s="1"/>
  <c r="AA240" i="5"/>
  <c r="AE240" i="5"/>
  <c r="AE211" i="5"/>
  <c r="AA211" i="5"/>
  <c r="H194" i="5"/>
  <c r="AA194" i="5"/>
  <c r="AE194" i="5"/>
  <c r="U156" i="5"/>
  <c r="H153" i="5"/>
  <c r="AA153" i="5"/>
  <c r="AE153" i="5"/>
  <c r="H117" i="5"/>
  <c r="AA117" i="5"/>
  <c r="AE117" i="5"/>
  <c r="H99" i="5"/>
  <c r="AE99" i="5"/>
  <c r="AA99" i="5"/>
  <c r="AE226" i="5"/>
  <c r="AA226" i="5"/>
  <c r="H142" i="5"/>
  <c r="AE142" i="5"/>
  <c r="AA142" i="5"/>
  <c r="AA116" i="5"/>
  <c r="AE116" i="5"/>
  <c r="AA65" i="5"/>
  <c r="AE65" i="5"/>
  <c r="AE248" i="5"/>
  <c r="AA248" i="5"/>
  <c r="AE243" i="5"/>
  <c r="AA243" i="5"/>
  <c r="AE236" i="5"/>
  <c r="AA236" i="5"/>
  <c r="AE230" i="5"/>
  <c r="AA230" i="5"/>
  <c r="H223" i="5"/>
  <c r="AA223" i="5"/>
  <c r="AE223" i="5"/>
  <c r="AA213" i="5"/>
  <c r="AE213" i="5"/>
  <c r="U205" i="5"/>
  <c r="H204" i="5"/>
  <c r="AA204" i="5"/>
  <c r="AE204" i="5"/>
  <c r="AA196" i="5"/>
  <c r="AE196" i="5"/>
  <c r="H190" i="5"/>
  <c r="AA190" i="5"/>
  <c r="AE190" i="5"/>
  <c r="AE179" i="5"/>
  <c r="AA179" i="5"/>
  <c r="AE171" i="5"/>
  <c r="AA171" i="5"/>
  <c r="U162" i="5"/>
  <c r="U158" i="5"/>
  <c r="H129" i="5"/>
  <c r="AA129" i="5"/>
  <c r="AE129" i="5"/>
  <c r="AA103" i="5"/>
  <c r="AE103" i="5"/>
  <c r="AE86" i="5"/>
  <c r="AA86" i="5"/>
  <c r="AE78" i="5"/>
  <c r="AA78" i="5"/>
  <c r="AE68" i="5"/>
  <c r="AA68" i="5"/>
  <c r="AA27" i="5"/>
  <c r="AE27" i="5"/>
  <c r="AE17" i="5"/>
  <c r="AE6" i="5"/>
  <c r="AF6" i="5" s="1"/>
  <c r="AE234" i="5"/>
  <c r="AA234" i="5"/>
  <c r="H164" i="5"/>
  <c r="AE164" i="5"/>
  <c r="AA164" i="5"/>
  <c r="H160" i="5"/>
  <c r="AA160" i="5"/>
  <c r="AE160" i="5"/>
  <c r="AE233" i="5"/>
  <c r="AA233" i="5"/>
  <c r="AA206" i="5"/>
  <c r="AE206" i="5"/>
  <c r="AA154" i="5"/>
  <c r="AE154" i="5"/>
  <c r="H232" i="5"/>
  <c r="AE232" i="5"/>
  <c r="AA232" i="5"/>
  <c r="H227" i="5"/>
  <c r="AE227" i="5"/>
  <c r="AA227" i="5"/>
  <c r="AA167" i="5"/>
  <c r="AE167" i="5"/>
  <c r="U160" i="5"/>
  <c r="AA31" i="5"/>
  <c r="AE31" i="5"/>
  <c r="AE251" i="5"/>
  <c r="AA251" i="5"/>
  <c r="AA239" i="5"/>
  <c r="AE239" i="5"/>
  <c r="AA193" i="5"/>
  <c r="AE193" i="5"/>
  <c r="H174" i="5"/>
  <c r="AA174" i="5"/>
  <c r="AE174" i="5"/>
  <c r="AA151" i="5"/>
  <c r="AE151" i="5"/>
  <c r="AE98" i="5"/>
  <c r="AA98" i="5"/>
  <c r="U245" i="5"/>
  <c r="H247" i="5"/>
  <c r="AE247" i="5"/>
  <c r="AA247" i="5"/>
  <c r="AE242" i="5"/>
  <c r="AA242" i="5"/>
  <c r="H235" i="5"/>
  <c r="AE235" i="5"/>
  <c r="AA235" i="5"/>
  <c r="AE229" i="5"/>
  <c r="AA229" i="5"/>
  <c r="H228" i="5"/>
  <c r="O228" i="5" s="1"/>
  <c r="AA221" i="5"/>
  <c r="AE221" i="5"/>
  <c r="AA212" i="5"/>
  <c r="AE212" i="5"/>
  <c r="AE203" i="5"/>
  <c r="AA203" i="5"/>
  <c r="AA189" i="5"/>
  <c r="AE189" i="5"/>
  <c r="H178" i="5"/>
  <c r="AA178" i="5"/>
  <c r="AE178" i="5"/>
  <c r="H177" i="5"/>
  <c r="AA170" i="5"/>
  <c r="AE170" i="5"/>
  <c r="AE156" i="5"/>
  <c r="AA156" i="5"/>
  <c r="AE140" i="5"/>
  <c r="AA140" i="5"/>
  <c r="AE85" i="5"/>
  <c r="AA85" i="5"/>
  <c r="H84" i="5"/>
  <c r="AE77" i="5"/>
  <c r="AA77" i="5"/>
  <c r="AA67" i="5"/>
  <c r="AE67" i="5"/>
  <c r="AA26" i="5"/>
  <c r="AE26" i="5"/>
  <c r="AA16" i="5"/>
  <c r="AE16" i="5"/>
  <c r="AA9" i="5"/>
  <c r="AB9" i="5" s="1"/>
  <c r="AE9" i="5"/>
  <c r="AF9" i="5" s="1"/>
  <c r="C252" i="5"/>
  <c r="K12" i="5"/>
  <c r="D6" i="55" s="1"/>
  <c r="J252" i="5"/>
  <c r="H241" i="5"/>
  <c r="U236" i="5"/>
  <c r="U235" i="5"/>
  <c r="J235" i="5"/>
  <c r="H229" i="5"/>
  <c r="U221" i="5"/>
  <c r="J221" i="5"/>
  <c r="U214" i="5"/>
  <c r="J214" i="5"/>
  <c r="U212" i="5"/>
  <c r="J212" i="5"/>
  <c r="U208" i="5"/>
  <c r="J208" i="5"/>
  <c r="J128" i="5"/>
  <c r="U127" i="5"/>
  <c r="J127" i="5"/>
  <c r="U125" i="5"/>
  <c r="J125" i="5"/>
  <c r="U117" i="5"/>
  <c r="J117" i="5"/>
  <c r="U249" i="5"/>
  <c r="J249" i="5"/>
  <c r="U247" i="5"/>
  <c r="J247" i="5"/>
  <c r="H245" i="5"/>
  <c r="U240" i="5"/>
  <c r="J240" i="5"/>
  <c r="H239" i="5"/>
  <c r="U237" i="5"/>
  <c r="J237" i="5"/>
  <c r="H236" i="5"/>
  <c r="U234" i="5"/>
  <c r="J234" i="5"/>
  <c r="U224" i="5"/>
  <c r="J224" i="5"/>
  <c r="U215" i="5"/>
  <c r="J215" i="5"/>
  <c r="H202" i="5"/>
  <c r="O202" i="5" s="1"/>
  <c r="U18" i="5"/>
  <c r="U30" i="5"/>
  <c r="U70" i="5"/>
  <c r="AJ70" i="5" s="1"/>
  <c r="L19" i="57" s="1"/>
  <c r="U79" i="5"/>
  <c r="AJ79" i="5" s="1"/>
  <c r="L24" i="57" s="1"/>
  <c r="U84" i="5"/>
  <c r="AJ84" i="5" s="1"/>
  <c r="L29" i="57" s="1"/>
  <c r="U85" i="5"/>
  <c r="AJ85" i="5" s="1"/>
  <c r="L30" i="57" s="1"/>
  <c r="U100" i="5"/>
  <c r="U105" i="5"/>
  <c r="U114" i="5"/>
  <c r="U128" i="5"/>
  <c r="U135" i="5"/>
  <c r="U142" i="5"/>
  <c r="U143" i="5"/>
  <c r="U154" i="5"/>
  <c r="U159" i="5"/>
  <c r="U163" i="5"/>
  <c r="U164" i="5"/>
  <c r="U167" i="5"/>
  <c r="U168" i="5"/>
  <c r="U173" i="5"/>
  <c r="U177" i="5"/>
  <c r="U186" i="5"/>
  <c r="U193" i="5"/>
  <c r="U194" i="5"/>
  <c r="U195" i="5"/>
  <c r="U201" i="5"/>
  <c r="U9" i="5"/>
  <c r="U26" i="5"/>
  <c r="U65" i="5"/>
  <c r="AJ65" i="5" s="1"/>
  <c r="L14" i="57" s="1"/>
  <c r="U66" i="5"/>
  <c r="AJ66" i="5" s="1"/>
  <c r="L15" i="57" s="1"/>
  <c r="U77" i="5"/>
  <c r="AJ77" i="5" s="1"/>
  <c r="L22" i="57" s="1"/>
  <c r="U82" i="5"/>
  <c r="AJ82" i="5" s="1"/>
  <c r="L27" i="57" s="1"/>
  <c r="U98" i="5"/>
  <c r="U103" i="5"/>
  <c r="U116" i="5"/>
  <c r="U118" i="5"/>
  <c r="U126" i="5"/>
  <c r="U129" i="5"/>
  <c r="U130" i="5"/>
  <c r="U136" i="5"/>
  <c r="U140" i="5"/>
  <c r="U151" i="5"/>
  <c r="U157" i="5"/>
  <c r="U161" i="5"/>
  <c r="U170" i="5"/>
  <c r="U175" i="5"/>
  <c r="U179" i="5"/>
  <c r="U180" i="5"/>
  <c r="U189" i="5"/>
  <c r="U190" i="5"/>
  <c r="U199" i="5"/>
  <c r="U10" i="5"/>
  <c r="U73" i="5"/>
  <c r="U78" i="5"/>
  <c r="AJ78" i="5" s="1"/>
  <c r="L23" i="57" s="1"/>
  <c r="U80" i="5"/>
  <c r="AJ80" i="5" s="1"/>
  <c r="L25" i="57" s="1"/>
  <c r="U87" i="5"/>
  <c r="U104" i="5"/>
  <c r="U107" i="5"/>
  <c r="U141" i="5"/>
  <c r="U153" i="5"/>
  <c r="U155" i="5"/>
  <c r="U166" i="5"/>
  <c r="U181" i="5"/>
  <c r="U182" i="5"/>
  <c r="U188" i="5"/>
  <c r="U197" i="5"/>
  <c r="U198" i="5"/>
  <c r="U200" i="5"/>
  <c r="U202" i="5"/>
  <c r="U206" i="5"/>
  <c r="U210" i="5"/>
  <c r="U172" i="5"/>
  <c r="U174" i="5"/>
  <c r="U176" i="5"/>
  <c r="U178" i="5"/>
  <c r="U192" i="5"/>
  <c r="U209" i="5"/>
  <c r="U213" i="5"/>
  <c r="U226" i="5"/>
  <c r="U227" i="5"/>
  <c r="U228" i="5"/>
  <c r="U232" i="5"/>
  <c r="U239" i="5"/>
  <c r="U242" i="5"/>
  <c r="U243" i="5"/>
  <c r="U244" i="5"/>
  <c r="U248" i="5"/>
  <c r="U21" i="5"/>
  <c r="U22" i="5"/>
  <c r="U29" i="5"/>
  <c r="U69" i="5"/>
  <c r="AJ69" i="5" s="1"/>
  <c r="L18" i="57" s="1"/>
  <c r="U71" i="5"/>
  <c r="AJ71" i="5" s="1"/>
  <c r="L20" i="57" s="1"/>
  <c r="U81" i="5"/>
  <c r="AJ81" i="5" s="1"/>
  <c r="L26" i="57" s="1"/>
  <c r="U83" i="5"/>
  <c r="AJ83" i="5" s="1"/>
  <c r="L28" i="57" s="1"/>
  <c r="J18" i="5"/>
  <c r="J30" i="5"/>
  <c r="J32" i="5"/>
  <c r="J64" i="5"/>
  <c r="AH64" i="5" s="1"/>
  <c r="E13" i="57" s="1"/>
  <c r="J70" i="5"/>
  <c r="AH70" i="5" s="1"/>
  <c r="E19" i="57" s="1"/>
  <c r="J79" i="5"/>
  <c r="AH79" i="5" s="1"/>
  <c r="E24" i="57" s="1"/>
  <c r="J84" i="5"/>
  <c r="AH84" i="5" s="1"/>
  <c r="E29" i="57" s="1"/>
  <c r="J85" i="5"/>
  <c r="AH85" i="5" s="1"/>
  <c r="E30" i="57" s="1"/>
  <c r="J100" i="5"/>
  <c r="J105" i="5"/>
  <c r="J114" i="5"/>
  <c r="J118" i="5"/>
  <c r="J129" i="5"/>
  <c r="J130" i="5"/>
  <c r="J135" i="5"/>
  <c r="J143" i="5"/>
  <c r="J154" i="5"/>
  <c r="J159" i="5"/>
  <c r="J163" i="5"/>
  <c r="J166" i="5"/>
  <c r="J167" i="5"/>
  <c r="J172" i="5"/>
  <c r="J173" i="5"/>
  <c r="J177" i="5"/>
  <c r="J186" i="5"/>
  <c r="J192" i="5"/>
  <c r="J193" i="5"/>
  <c r="J194" i="5"/>
  <c r="J201" i="5"/>
  <c r="J206" i="5"/>
  <c r="J26" i="5"/>
  <c r="J63" i="5"/>
  <c r="AH63" i="5" s="1"/>
  <c r="E12" i="57" s="1"/>
  <c r="J65" i="5"/>
  <c r="AH65" i="5" s="1"/>
  <c r="E14" i="57" s="1"/>
  <c r="J77" i="5"/>
  <c r="AH77" i="5" s="1"/>
  <c r="E22" i="57" s="1"/>
  <c r="J81" i="5"/>
  <c r="AH81" i="5" s="1"/>
  <c r="E26" i="57" s="1"/>
  <c r="J82" i="5"/>
  <c r="AH82" i="5" s="1"/>
  <c r="E27" i="57" s="1"/>
  <c r="J98" i="5"/>
  <c r="J103" i="5"/>
  <c r="J116" i="5"/>
  <c r="J126" i="5"/>
  <c r="J140" i="5"/>
  <c r="J151" i="5"/>
  <c r="J156" i="5"/>
  <c r="J157" i="5"/>
  <c r="J161" i="5"/>
  <c r="J170" i="5"/>
  <c r="J175" i="5"/>
  <c r="J179" i="5"/>
  <c r="J189" i="5"/>
  <c r="J197" i="5"/>
  <c r="J199" i="5"/>
  <c r="J12" i="5"/>
  <c r="J16" i="5"/>
  <c r="J20" i="5"/>
  <c r="J22" i="5"/>
  <c r="J28" i="5"/>
  <c r="J68" i="5"/>
  <c r="AH68" i="5" s="1"/>
  <c r="E17" i="57" s="1"/>
  <c r="J78" i="5"/>
  <c r="AH78" i="5" s="1"/>
  <c r="E23" i="57" s="1"/>
  <c r="J80" i="5"/>
  <c r="AH80" i="5" s="1"/>
  <c r="E25" i="57" s="1"/>
  <c r="J104" i="5"/>
  <c r="J141" i="5"/>
  <c r="J142" i="5"/>
  <c r="J144" i="5"/>
  <c r="J153" i="5"/>
  <c r="J155" i="5"/>
  <c r="J168" i="5"/>
  <c r="J181" i="5"/>
  <c r="J188" i="5"/>
  <c r="J190" i="5"/>
  <c r="J198" i="5"/>
  <c r="J200" i="5"/>
  <c r="J202" i="5"/>
  <c r="J210" i="5"/>
  <c r="J72" i="5"/>
  <c r="AH72" i="5" s="1"/>
  <c r="J136" i="5"/>
  <c r="J165" i="5"/>
  <c r="J174" i="5"/>
  <c r="J176" i="5"/>
  <c r="J178" i="5"/>
  <c r="J180" i="5"/>
  <c r="J209" i="5"/>
  <c r="J213" i="5"/>
  <c r="J217" i="5"/>
  <c r="J226" i="5"/>
  <c r="J227" i="5"/>
  <c r="J228" i="5"/>
  <c r="J232" i="5"/>
  <c r="J239" i="5"/>
  <c r="J241" i="5"/>
  <c r="J242" i="5"/>
  <c r="J243" i="5"/>
  <c r="J244" i="5"/>
  <c r="J248" i="5"/>
  <c r="J19" i="5"/>
  <c r="J21" i="5"/>
  <c r="J27" i="5"/>
  <c r="J29" i="5"/>
  <c r="J31" i="5"/>
  <c r="J67" i="5"/>
  <c r="AH67" i="5" s="1"/>
  <c r="E16" i="57" s="1"/>
  <c r="J69" i="5"/>
  <c r="AH69" i="5" s="1"/>
  <c r="E18" i="57" s="1"/>
  <c r="J71" i="5"/>
  <c r="AH71" i="5" s="1"/>
  <c r="E20" i="57" s="1"/>
  <c r="J73" i="5"/>
  <c r="J83" i="5"/>
  <c r="AH83" i="5" s="1"/>
  <c r="E28" i="57" s="1"/>
  <c r="J87" i="5"/>
  <c r="H248" i="5"/>
  <c r="O248" i="5" s="1"/>
  <c r="U246" i="5"/>
  <c r="J246" i="5"/>
  <c r="J236" i="5"/>
  <c r="U233" i="5"/>
  <c r="J233" i="5"/>
  <c r="U231" i="5"/>
  <c r="J231" i="5"/>
  <c r="U223" i="5"/>
  <c r="J223" i="5"/>
  <c r="U196" i="5"/>
  <c r="J196" i="5"/>
  <c r="U165" i="5"/>
  <c r="U115" i="5"/>
  <c r="J115" i="5"/>
  <c r="U252" i="5"/>
  <c r="U251" i="5"/>
  <c r="J251" i="5"/>
  <c r="U250" i="5"/>
  <c r="J250" i="5"/>
  <c r="U238" i="5"/>
  <c r="J238" i="5"/>
  <c r="U229" i="5"/>
  <c r="J229" i="5"/>
  <c r="U225" i="5"/>
  <c r="J225" i="5"/>
  <c r="U216" i="5"/>
  <c r="J216" i="5"/>
  <c r="U204" i="5"/>
  <c r="U203" i="5"/>
  <c r="J203" i="5"/>
  <c r="J182" i="5"/>
  <c r="U171" i="5"/>
  <c r="J171" i="5"/>
  <c r="U169" i="5"/>
  <c r="J169" i="5"/>
  <c r="U134" i="5"/>
  <c r="J134" i="5"/>
  <c r="U101" i="5"/>
  <c r="J101" i="5"/>
  <c r="U99" i="5"/>
  <c r="J99" i="5"/>
  <c r="G87" i="5"/>
  <c r="H224" i="5"/>
  <c r="H215" i="5"/>
  <c r="O215" i="5" s="1"/>
  <c r="H211" i="5"/>
  <c r="O211" i="5" s="1"/>
  <c r="H207" i="5"/>
  <c r="Q144" i="5"/>
  <c r="F118" i="5"/>
  <c r="H192" i="5"/>
  <c r="H172" i="5"/>
  <c r="O172" i="5" s="1"/>
  <c r="H167" i="5"/>
  <c r="O167" i="5" s="1"/>
  <c r="H166" i="5"/>
  <c r="H159" i="5"/>
  <c r="H155" i="5"/>
  <c r="V118" i="5"/>
  <c r="H79" i="5"/>
  <c r="H68" i="5"/>
  <c r="H64" i="5"/>
  <c r="O64" i="5" s="1"/>
  <c r="Q32" i="5"/>
  <c r="K32" i="5"/>
  <c r="H21" i="5"/>
  <c r="V22" i="5"/>
  <c r="H11" i="5"/>
  <c r="H8" i="5"/>
  <c r="H203" i="5"/>
  <c r="H197" i="5"/>
  <c r="O197" i="5" s="1"/>
  <c r="H179" i="5"/>
  <c r="H171" i="5"/>
  <c r="H170" i="5"/>
  <c r="O170" i="5" s="1"/>
  <c r="H157" i="5"/>
  <c r="H156" i="5"/>
  <c r="H126" i="5"/>
  <c r="V130" i="5"/>
  <c r="H83" i="5"/>
  <c r="K73" i="5"/>
  <c r="H69" i="5"/>
  <c r="E22" i="5"/>
  <c r="H250" i="5"/>
  <c r="H237" i="5"/>
  <c r="H234" i="5"/>
  <c r="O234" i="5" s="1"/>
  <c r="H213" i="5"/>
  <c r="O213" i="5" s="1"/>
  <c r="H209" i="5"/>
  <c r="H208" i="5"/>
  <c r="H206" i="5"/>
  <c r="Q252" i="5"/>
  <c r="H233" i="5"/>
  <c r="K252" i="5"/>
  <c r="H212" i="5"/>
  <c r="V217" i="5"/>
  <c r="H191" i="5"/>
  <c r="D217" i="5"/>
  <c r="H188" i="5"/>
  <c r="O188" i="5" s="1"/>
  <c r="H175" i="5"/>
  <c r="H173" i="5"/>
  <c r="F130" i="5"/>
  <c r="Q118" i="5"/>
  <c r="H161" i="5"/>
  <c r="C144" i="5"/>
  <c r="E144" i="5"/>
  <c r="C136" i="5"/>
  <c r="H103" i="5"/>
  <c r="C73" i="5"/>
  <c r="K217" i="5"/>
  <c r="E217" i="5"/>
  <c r="K130" i="5"/>
  <c r="K107" i="5"/>
  <c r="E107" i="5"/>
  <c r="D107" i="5"/>
  <c r="H67" i="5"/>
  <c r="E12" i="5"/>
  <c r="H200" i="5"/>
  <c r="H196" i="5"/>
  <c r="E182" i="5"/>
  <c r="H151" i="5"/>
  <c r="H135" i="5"/>
  <c r="D130" i="5"/>
  <c r="H127" i="5"/>
  <c r="E130" i="5"/>
  <c r="H115" i="5"/>
  <c r="H77" i="5"/>
  <c r="H70" i="5"/>
  <c r="O70" i="5" s="1"/>
  <c r="H65" i="5"/>
  <c r="H31" i="5"/>
  <c r="O31" i="5" s="1"/>
  <c r="H29" i="5"/>
  <c r="V32" i="5"/>
  <c r="G22" i="5"/>
  <c r="H246" i="5"/>
  <c r="O246" i="5" s="1"/>
  <c r="G252" i="5"/>
  <c r="H238" i="5"/>
  <c r="O238" i="5" s="1"/>
  <c r="H221" i="5"/>
  <c r="O221" i="5" s="1"/>
  <c r="F252" i="5"/>
  <c r="F217" i="5"/>
  <c r="K144" i="5"/>
  <c r="V7" i="57" s="1"/>
  <c r="Q107" i="5"/>
  <c r="H230" i="5"/>
  <c r="O230" i="5" s="1"/>
  <c r="H162" i="5"/>
  <c r="O162" i="5" s="1"/>
  <c r="Q217" i="5"/>
  <c r="H181" i="5"/>
  <c r="O181" i="5" s="1"/>
  <c r="H6" i="5"/>
  <c r="R6" i="5" s="1"/>
  <c r="F12" i="5"/>
  <c r="H242" i="5"/>
  <c r="O242" i="5" s="1"/>
  <c r="H226" i="5"/>
  <c r="O226" i="5" s="1"/>
  <c r="H193" i="5"/>
  <c r="O193" i="5" s="1"/>
  <c r="G217" i="5"/>
  <c r="H201" i="5"/>
  <c r="O201" i="5" s="1"/>
  <c r="H141" i="5"/>
  <c r="O141" i="5" s="1"/>
  <c r="G144" i="5"/>
  <c r="E252" i="5"/>
  <c r="C217" i="5"/>
  <c r="Q182" i="5"/>
  <c r="V182" i="5"/>
  <c r="V252" i="5"/>
  <c r="H205" i="5"/>
  <c r="O205" i="5" s="1"/>
  <c r="K182" i="5"/>
  <c r="F22" i="5"/>
  <c r="H19" i="5"/>
  <c r="O19" i="5" s="1"/>
  <c r="D252" i="5"/>
  <c r="G182" i="5"/>
  <c r="H101" i="5"/>
  <c r="O101" i="5" s="1"/>
  <c r="G107" i="5"/>
  <c r="H10" i="5"/>
  <c r="O10" i="5" s="1"/>
  <c r="V136" i="5"/>
  <c r="H134" i="5"/>
  <c r="O134" i="5" s="1"/>
  <c r="C130" i="5"/>
  <c r="Q130" i="5"/>
  <c r="D118" i="5"/>
  <c r="D182" i="5"/>
  <c r="C118" i="5"/>
  <c r="H189" i="5"/>
  <c r="O189" i="5" s="1"/>
  <c r="F182" i="5"/>
  <c r="C182" i="5"/>
  <c r="D22" i="5"/>
  <c r="K118" i="5"/>
  <c r="Q73" i="5"/>
  <c r="C32" i="5"/>
  <c r="F144" i="5"/>
  <c r="U7" i="57" s="1"/>
  <c r="D136" i="5"/>
  <c r="K87" i="5"/>
  <c r="K22" i="5"/>
  <c r="C22" i="5"/>
  <c r="H154" i="5"/>
  <c r="O154" i="5" s="1"/>
  <c r="V144" i="5"/>
  <c r="H116" i="5"/>
  <c r="O116" i="5" s="1"/>
  <c r="E118" i="5"/>
  <c r="F107" i="5"/>
  <c r="H27" i="5"/>
  <c r="O27" i="5" s="1"/>
  <c r="Q12" i="5"/>
  <c r="E6" i="55" s="1"/>
  <c r="E73" i="5"/>
  <c r="G73" i="5"/>
  <c r="V107" i="5"/>
  <c r="H78" i="5"/>
  <c r="O78" i="5" s="1"/>
  <c r="Q87" i="5"/>
  <c r="H71" i="5"/>
  <c r="F73" i="5"/>
  <c r="AI73" i="5" s="1"/>
  <c r="H63" i="5"/>
  <c r="O63" i="5" s="1"/>
  <c r="E32" i="5"/>
  <c r="H86" i="5"/>
  <c r="O86" i="5" s="1"/>
  <c r="D32" i="5"/>
  <c r="D12" i="5"/>
  <c r="G32" i="5"/>
  <c r="H18" i="5"/>
  <c r="O18" i="5" s="1"/>
  <c r="V12" i="5"/>
  <c r="H98" i="5"/>
  <c r="O98" i="5" s="1"/>
  <c r="H82" i="5"/>
  <c r="O82" i="5" s="1"/>
  <c r="V73" i="5"/>
  <c r="H30" i="5"/>
  <c r="O30" i="5" s="1"/>
  <c r="H26" i="5"/>
  <c r="O26" i="5" s="1"/>
  <c r="F32" i="5"/>
  <c r="U8" i="5"/>
  <c r="U12" i="5"/>
  <c r="U16" i="5"/>
  <c r="U20" i="5"/>
  <c r="U28" i="5"/>
  <c r="U32" i="5"/>
  <c r="U64" i="5"/>
  <c r="AJ64" i="5" s="1"/>
  <c r="L13" i="57" s="1"/>
  <c r="U68" i="5"/>
  <c r="AJ68" i="5" s="1"/>
  <c r="L17" i="57" s="1"/>
  <c r="U72" i="5"/>
  <c r="AJ72" i="5" s="1"/>
  <c r="U11" i="5"/>
  <c r="U19" i="5"/>
  <c r="U27" i="5"/>
  <c r="U31" i="5"/>
  <c r="U63" i="5"/>
  <c r="AJ63" i="5" s="1"/>
  <c r="L12" i="57" s="1"/>
  <c r="U67" i="5"/>
  <c r="AJ67" i="5" s="1"/>
  <c r="L16" i="57" s="1"/>
  <c r="AA53" i="5" l="1"/>
  <c r="AB53" i="5" s="1"/>
  <c r="AE58" i="5"/>
  <c r="AA58" i="5"/>
  <c r="L53" i="5"/>
  <c r="M53" i="5" s="1"/>
  <c r="R53" i="5"/>
  <c r="S53" i="5" s="1"/>
  <c r="N53" i="5"/>
  <c r="W53" i="5"/>
  <c r="X53" i="5" s="1"/>
  <c r="O53" i="5"/>
  <c r="I53" i="5"/>
  <c r="T53" i="5"/>
  <c r="K30" i="57"/>
  <c r="J32" i="57"/>
  <c r="AD60" i="5"/>
  <c r="Z60" i="5"/>
  <c r="F60" i="5"/>
  <c r="C6" i="55"/>
  <c r="F6" i="55" s="1"/>
  <c r="G14" i="57"/>
  <c r="K14" i="57"/>
  <c r="G18" i="57"/>
  <c r="F32" i="57"/>
  <c r="AJ87" i="5"/>
  <c r="AJ73" i="5"/>
  <c r="D5" i="57"/>
  <c r="AJ52" i="5"/>
  <c r="L5" i="57" s="1"/>
  <c r="K24" i="57"/>
  <c r="G24" i="57"/>
  <c r="K28" i="57"/>
  <c r="G28" i="57"/>
  <c r="H19" i="57"/>
  <c r="W15" i="57"/>
  <c r="X15" i="57" s="1"/>
  <c r="W13" i="57"/>
  <c r="X13" i="57" s="1"/>
  <c r="H16" i="57"/>
  <c r="K19" i="57"/>
  <c r="G19" i="57"/>
  <c r="G30" i="57"/>
  <c r="D8" i="57"/>
  <c r="AJ55" i="5"/>
  <c r="L8" i="57" s="1"/>
  <c r="W23" i="57"/>
  <c r="X23" i="57" s="1"/>
  <c r="H15" i="57"/>
  <c r="L21" i="57"/>
  <c r="E32" i="57"/>
  <c r="W18" i="57"/>
  <c r="X18" i="57" s="1"/>
  <c r="H17" i="57"/>
  <c r="W25" i="57"/>
  <c r="X25" i="57" s="1"/>
  <c r="H25" i="57"/>
  <c r="D9" i="57"/>
  <c r="K9" i="57" s="1"/>
  <c r="AJ56" i="5"/>
  <c r="L9" i="57" s="1"/>
  <c r="D21" i="57"/>
  <c r="D10" i="57"/>
  <c r="AJ57" i="5"/>
  <c r="L10" i="57" s="1"/>
  <c r="H29" i="57"/>
  <c r="W17" i="57"/>
  <c r="X17" i="57" s="1"/>
  <c r="D11" i="57"/>
  <c r="AJ58" i="5"/>
  <c r="L11" i="57" s="1"/>
  <c r="H18" i="57"/>
  <c r="W6" i="57"/>
  <c r="X6" i="57" s="1"/>
  <c r="H26" i="57"/>
  <c r="W14" i="57"/>
  <c r="X14" i="57" s="1"/>
  <c r="D7" i="57"/>
  <c r="AJ54" i="5"/>
  <c r="L7" i="57" s="1"/>
  <c r="G12" i="57"/>
  <c r="F21" i="57"/>
  <c r="W5" i="57"/>
  <c r="X5" i="57" s="1"/>
  <c r="H30" i="57"/>
  <c r="W20" i="57"/>
  <c r="X20" i="57" s="1"/>
  <c r="H27" i="57"/>
  <c r="H12" i="57"/>
  <c r="W10" i="57"/>
  <c r="X10" i="57" s="1"/>
  <c r="M21" i="57"/>
  <c r="I21" i="57"/>
  <c r="K12" i="57"/>
  <c r="J21" i="57"/>
  <c r="D32" i="57"/>
  <c r="G22" i="57"/>
  <c r="K22" i="57"/>
  <c r="D4" i="57"/>
  <c r="AJ51" i="5"/>
  <c r="L4" i="57" s="1"/>
  <c r="W2" i="57"/>
  <c r="X2" i="57" s="1"/>
  <c r="H13" i="57"/>
  <c r="G31" i="57"/>
  <c r="K31" i="57"/>
  <c r="K15" i="57"/>
  <c r="G15" i="57"/>
  <c r="K16" i="57"/>
  <c r="G16" i="57"/>
  <c r="G13" i="57"/>
  <c r="K13" i="57"/>
  <c r="G26" i="57"/>
  <c r="K26" i="57"/>
  <c r="H24" i="57"/>
  <c r="W22" i="57"/>
  <c r="X22" i="57" s="1"/>
  <c r="E21" i="57"/>
  <c r="L32" i="57"/>
  <c r="D3" i="57"/>
  <c r="AJ50" i="5"/>
  <c r="L3" i="57" s="1"/>
  <c r="D6" i="57"/>
  <c r="L6" i="57"/>
  <c r="W21" i="57"/>
  <c r="X21" i="57" s="1"/>
  <c r="H14" i="57"/>
  <c r="W12" i="57"/>
  <c r="X12" i="57" s="1"/>
  <c r="H22" i="57"/>
  <c r="W8" i="57"/>
  <c r="H31" i="57"/>
  <c r="I32" i="57"/>
  <c r="K17" i="57"/>
  <c r="G17" i="57"/>
  <c r="AJ49" i="5"/>
  <c r="L2" i="57" s="1"/>
  <c r="AC12" i="5"/>
  <c r="AC182" i="5"/>
  <c r="F12" i="55"/>
  <c r="G12" i="55" s="1"/>
  <c r="H12" i="55"/>
  <c r="I12" i="55" s="1"/>
  <c r="H29" i="55"/>
  <c r="I29" i="55" s="1"/>
  <c r="F29" i="55"/>
  <c r="G29" i="55" s="1"/>
  <c r="H39" i="55"/>
  <c r="I39" i="55" s="1"/>
  <c r="F39" i="55"/>
  <c r="G39" i="55" s="1"/>
  <c r="H41" i="55"/>
  <c r="I41" i="55" s="1"/>
  <c r="F41" i="55"/>
  <c r="G41" i="55" s="1"/>
  <c r="H26" i="55"/>
  <c r="I26" i="55" s="1"/>
  <c r="F26" i="55"/>
  <c r="G26" i="55" s="1"/>
  <c r="F36" i="55"/>
  <c r="G36" i="55" s="1"/>
  <c r="H36" i="55"/>
  <c r="I36" i="55" s="1"/>
  <c r="F18" i="55"/>
  <c r="G18" i="55" s="1"/>
  <c r="H18" i="55"/>
  <c r="I18" i="55" s="1"/>
  <c r="H32" i="55"/>
  <c r="I32" i="55" s="1"/>
  <c r="F32" i="55"/>
  <c r="G32" i="55" s="1"/>
  <c r="F21" i="55"/>
  <c r="G21" i="55" s="1"/>
  <c r="H21" i="55"/>
  <c r="I21" i="55" s="1"/>
  <c r="F30" i="55"/>
  <c r="G30" i="55" s="1"/>
  <c r="H30" i="55"/>
  <c r="I30" i="55" s="1"/>
  <c r="F17" i="55"/>
  <c r="G17" i="55" s="1"/>
  <c r="H17" i="55"/>
  <c r="I17" i="55" s="1"/>
  <c r="H33" i="55"/>
  <c r="I33" i="55" s="1"/>
  <c r="F33" i="55"/>
  <c r="G33" i="55" s="1"/>
  <c r="F43" i="55"/>
  <c r="G43" i="55" s="1"/>
  <c r="H43" i="55"/>
  <c r="I43" i="55" s="1"/>
  <c r="H8" i="55"/>
  <c r="I8" i="55" s="1"/>
  <c r="F8" i="55"/>
  <c r="G8" i="55" s="1"/>
  <c r="F27" i="55"/>
  <c r="G27" i="55" s="1"/>
  <c r="H27" i="55"/>
  <c r="I27" i="55" s="1"/>
  <c r="F37" i="55"/>
  <c r="G37" i="55" s="1"/>
  <c r="H37" i="55"/>
  <c r="I37" i="55" s="1"/>
  <c r="F42" i="55"/>
  <c r="G42" i="55" s="1"/>
  <c r="H42" i="55"/>
  <c r="I42" i="55" s="1"/>
  <c r="H23" i="55"/>
  <c r="I23" i="55" s="1"/>
  <c r="F23" i="55"/>
  <c r="G23" i="55" s="1"/>
  <c r="H16" i="55"/>
  <c r="I16" i="55" s="1"/>
  <c r="F16" i="55"/>
  <c r="G16" i="55" s="1"/>
  <c r="F14" i="55"/>
  <c r="G14" i="55" s="1"/>
  <c r="H14" i="55"/>
  <c r="I14" i="55" s="1"/>
  <c r="H35" i="55"/>
  <c r="I35" i="55" s="1"/>
  <c r="F35" i="55"/>
  <c r="G35" i="55" s="1"/>
  <c r="H25" i="55"/>
  <c r="I25" i="55" s="1"/>
  <c r="F25" i="55"/>
  <c r="G25" i="55" s="1"/>
  <c r="F15" i="55"/>
  <c r="G15" i="55" s="1"/>
  <c r="H15" i="55"/>
  <c r="I15" i="55" s="1"/>
  <c r="F31" i="55"/>
  <c r="G31" i="55" s="1"/>
  <c r="H31" i="55"/>
  <c r="I31" i="55" s="1"/>
  <c r="F10" i="55"/>
  <c r="G10" i="55" s="1"/>
  <c r="H10" i="55"/>
  <c r="I10" i="55" s="1"/>
  <c r="H38" i="55"/>
  <c r="I38" i="55" s="1"/>
  <c r="F38" i="55"/>
  <c r="G38" i="55" s="1"/>
  <c r="H28" i="55"/>
  <c r="I28" i="55" s="1"/>
  <c r="F28" i="55"/>
  <c r="G28" i="55" s="1"/>
  <c r="H24" i="55"/>
  <c r="I24" i="55" s="1"/>
  <c r="F24" i="55"/>
  <c r="G24" i="55" s="1"/>
  <c r="F20" i="55"/>
  <c r="G20" i="55" s="1"/>
  <c r="H20" i="55"/>
  <c r="I20" i="55" s="1"/>
  <c r="H22" i="55"/>
  <c r="I22" i="55" s="1"/>
  <c r="F22" i="55"/>
  <c r="G22" i="55" s="1"/>
  <c r="F34" i="55"/>
  <c r="G34" i="55" s="1"/>
  <c r="H34" i="55"/>
  <c r="I34" i="55" s="1"/>
  <c r="F40" i="55"/>
  <c r="G40" i="55" s="1"/>
  <c r="H40" i="55"/>
  <c r="I40" i="55" s="1"/>
  <c r="F19" i="55"/>
  <c r="G19" i="55" s="1"/>
  <c r="H19" i="55"/>
  <c r="I19" i="55" s="1"/>
  <c r="AI49" i="5"/>
  <c r="I2" i="57" s="1"/>
  <c r="AH49" i="5"/>
  <c r="E2" i="57" s="1"/>
  <c r="AH87" i="5"/>
  <c r="Z59" i="5"/>
  <c r="E59" i="5"/>
  <c r="D59" i="5"/>
  <c r="C59" i="5"/>
  <c r="F59" i="5"/>
  <c r="AC87" i="5"/>
  <c r="AC56" i="5"/>
  <c r="H9" i="57" s="1"/>
  <c r="V59" i="5"/>
  <c r="AC58" i="5"/>
  <c r="H11" i="57" s="1"/>
  <c r="AA55" i="5"/>
  <c r="AB55" i="5" s="1"/>
  <c r="AH73" i="5"/>
  <c r="I6" i="57"/>
  <c r="E6" i="57"/>
  <c r="AC49" i="5"/>
  <c r="H2" i="57" s="1"/>
  <c r="AI54" i="5"/>
  <c r="I7" i="57" s="1"/>
  <c r="AH54" i="5"/>
  <c r="E7" i="57" s="1"/>
  <c r="AI50" i="5"/>
  <c r="I3" i="57" s="1"/>
  <c r="AH50" i="5"/>
  <c r="E3" i="57" s="1"/>
  <c r="AI55" i="5"/>
  <c r="I8" i="57" s="1"/>
  <c r="AH55" i="5"/>
  <c r="E8" i="57" s="1"/>
  <c r="AI58" i="5"/>
  <c r="I11" i="57" s="1"/>
  <c r="AH58" i="5"/>
  <c r="E11" i="57" s="1"/>
  <c r="H57" i="5"/>
  <c r="O57" i="5" s="1"/>
  <c r="AI57" i="5"/>
  <c r="I10" i="57" s="1"/>
  <c r="AH57" i="5"/>
  <c r="E10" i="57" s="1"/>
  <c r="AI51" i="5"/>
  <c r="I4" i="57" s="1"/>
  <c r="AH51" i="5"/>
  <c r="E4" i="57" s="1"/>
  <c r="AI56" i="5"/>
  <c r="I9" i="57" s="1"/>
  <c r="AH56" i="5"/>
  <c r="E9" i="57" s="1"/>
  <c r="AI52" i="5"/>
  <c r="I5" i="57" s="1"/>
  <c r="AH52" i="5"/>
  <c r="E5" i="57" s="1"/>
  <c r="AC73" i="5"/>
  <c r="AA57" i="5"/>
  <c r="AB57" i="5" s="1"/>
  <c r="H6" i="57"/>
  <c r="AC54" i="5"/>
  <c r="H7" i="57" s="1"/>
  <c r="AC52" i="5"/>
  <c r="H5" i="57" s="1"/>
  <c r="AC50" i="5"/>
  <c r="H3" i="57" s="1"/>
  <c r="AC55" i="5"/>
  <c r="H8" i="57" s="1"/>
  <c r="AC51" i="5"/>
  <c r="H4" i="57" s="1"/>
  <c r="AC57" i="5"/>
  <c r="H10" i="57" s="1"/>
  <c r="H50" i="5"/>
  <c r="O50" i="5" s="1"/>
  <c r="H55" i="5"/>
  <c r="O55" i="5" s="1"/>
  <c r="AB58" i="5"/>
  <c r="O6" i="5"/>
  <c r="N6" i="5"/>
  <c r="AB16" i="5"/>
  <c r="R196" i="5"/>
  <c r="S196" i="5" s="1"/>
  <c r="O196" i="5"/>
  <c r="L191" i="5"/>
  <c r="M191" i="5" s="1"/>
  <c r="O191" i="5"/>
  <c r="R209" i="5"/>
  <c r="S209" i="5" s="1"/>
  <c r="O209" i="5"/>
  <c r="L69" i="5"/>
  <c r="M69" i="5" s="1"/>
  <c r="O69" i="5"/>
  <c r="L21" i="5"/>
  <c r="M21" i="5" s="1"/>
  <c r="O21" i="5"/>
  <c r="W239" i="5"/>
  <c r="X239" i="5" s="1"/>
  <c r="O239" i="5"/>
  <c r="L190" i="5"/>
  <c r="M190" i="5" s="1"/>
  <c r="O190" i="5"/>
  <c r="L128" i="5"/>
  <c r="M128" i="5" s="1"/>
  <c r="O128" i="5"/>
  <c r="R20" i="5"/>
  <c r="S20" i="5" s="1"/>
  <c r="O20" i="5"/>
  <c r="L231" i="5"/>
  <c r="M231" i="5" s="1"/>
  <c r="O231" i="5"/>
  <c r="N85" i="5"/>
  <c r="O85" i="5"/>
  <c r="N115" i="5"/>
  <c r="O115" i="5"/>
  <c r="W200" i="5"/>
  <c r="X200" i="5" s="1"/>
  <c r="O200" i="5"/>
  <c r="N161" i="5"/>
  <c r="O161" i="5"/>
  <c r="R171" i="5"/>
  <c r="S171" i="5" s="1"/>
  <c r="O171" i="5"/>
  <c r="L84" i="5"/>
  <c r="M84" i="5" s="1"/>
  <c r="O84" i="5"/>
  <c r="W178" i="5"/>
  <c r="X178" i="5" s="1"/>
  <c r="O178" i="5"/>
  <c r="L164" i="5"/>
  <c r="M164" i="5" s="1"/>
  <c r="O164" i="5"/>
  <c r="W194" i="5"/>
  <c r="X194" i="5" s="1"/>
  <c r="O194" i="5"/>
  <c r="R180" i="5"/>
  <c r="S180" i="5" s="1"/>
  <c r="O180" i="5"/>
  <c r="R249" i="5"/>
  <c r="S249" i="5" s="1"/>
  <c r="O249" i="5"/>
  <c r="W225" i="5"/>
  <c r="X225" i="5" s="1"/>
  <c r="O225" i="5"/>
  <c r="W16" i="5"/>
  <c r="X16" i="5" s="1"/>
  <c r="O16" i="5"/>
  <c r="W243" i="5"/>
  <c r="X243" i="5" s="1"/>
  <c r="O243" i="5"/>
  <c r="O81" i="5"/>
  <c r="L83" i="5"/>
  <c r="M83" i="5" s="1"/>
  <c r="O83" i="5"/>
  <c r="W155" i="5"/>
  <c r="X155" i="5" s="1"/>
  <c r="O155" i="5"/>
  <c r="R227" i="5"/>
  <c r="S227" i="5" s="1"/>
  <c r="O227" i="5"/>
  <c r="W142" i="5"/>
  <c r="X142" i="5" s="1"/>
  <c r="O142" i="5"/>
  <c r="N117" i="5"/>
  <c r="O117" i="5"/>
  <c r="W72" i="5"/>
  <c r="X72" i="5" s="1"/>
  <c r="O72" i="5"/>
  <c r="N71" i="5"/>
  <c r="O71" i="5"/>
  <c r="W29" i="5"/>
  <c r="X29" i="5" s="1"/>
  <c r="O29" i="5"/>
  <c r="L127" i="5"/>
  <c r="M127" i="5" s="1"/>
  <c r="O127" i="5"/>
  <c r="N67" i="5"/>
  <c r="O67" i="5"/>
  <c r="N237" i="5"/>
  <c r="O237" i="5"/>
  <c r="R159" i="5"/>
  <c r="S159" i="5" s="1"/>
  <c r="O159" i="5"/>
  <c r="R207" i="5"/>
  <c r="S207" i="5" s="1"/>
  <c r="O207" i="5"/>
  <c r="R245" i="5"/>
  <c r="S245" i="5" s="1"/>
  <c r="O245" i="5"/>
  <c r="R241" i="5"/>
  <c r="S241" i="5" s="1"/>
  <c r="O241" i="5"/>
  <c r="W223" i="5"/>
  <c r="X223" i="5" s="1"/>
  <c r="O223" i="5"/>
  <c r="R216" i="5"/>
  <c r="S216" i="5" s="1"/>
  <c r="O216" i="5"/>
  <c r="R158" i="5"/>
  <c r="S158" i="5" s="1"/>
  <c r="O158" i="5"/>
  <c r="W66" i="5"/>
  <c r="X66" i="5" s="1"/>
  <c r="O66" i="5"/>
  <c r="W163" i="5"/>
  <c r="X163" i="5" s="1"/>
  <c r="O163" i="5"/>
  <c r="R105" i="5"/>
  <c r="S105" i="5" s="1"/>
  <c r="O105" i="5"/>
  <c r="R173" i="5"/>
  <c r="S173" i="5" s="1"/>
  <c r="O173" i="5"/>
  <c r="W233" i="5"/>
  <c r="X233" i="5" s="1"/>
  <c r="O233" i="5"/>
  <c r="R250" i="5"/>
  <c r="S250" i="5" s="1"/>
  <c r="O250" i="5"/>
  <c r="W203" i="5"/>
  <c r="X203" i="5" s="1"/>
  <c r="O203" i="5"/>
  <c r="R68" i="5"/>
  <c r="S68" i="5" s="1"/>
  <c r="O68" i="5"/>
  <c r="N166" i="5"/>
  <c r="O166" i="5"/>
  <c r="L247" i="5"/>
  <c r="M247" i="5" s="1"/>
  <c r="O247" i="5"/>
  <c r="W174" i="5"/>
  <c r="X174" i="5" s="1"/>
  <c r="O174" i="5"/>
  <c r="W165" i="5"/>
  <c r="X165" i="5" s="1"/>
  <c r="O165" i="5"/>
  <c r="N199" i="5"/>
  <c r="O199" i="5"/>
  <c r="R179" i="5"/>
  <c r="S179" i="5" s="1"/>
  <c r="O179" i="5"/>
  <c r="R65" i="5"/>
  <c r="S65" i="5" s="1"/>
  <c r="O65" i="5"/>
  <c r="L135" i="5"/>
  <c r="M135" i="5" s="1"/>
  <c r="O135" i="5"/>
  <c r="O136" i="5" s="1"/>
  <c r="N103" i="5"/>
  <c r="O103" i="5"/>
  <c r="W175" i="5"/>
  <c r="X175" i="5" s="1"/>
  <c r="O175" i="5"/>
  <c r="R126" i="5"/>
  <c r="S126" i="5" s="1"/>
  <c r="O126" i="5"/>
  <c r="R8" i="5"/>
  <c r="S8" i="5" s="1"/>
  <c r="O8" i="5"/>
  <c r="W79" i="5"/>
  <c r="X79" i="5" s="1"/>
  <c r="O79" i="5"/>
  <c r="W236" i="5"/>
  <c r="X236" i="5" s="1"/>
  <c r="O236" i="5"/>
  <c r="R232" i="5"/>
  <c r="S232" i="5" s="1"/>
  <c r="O232" i="5"/>
  <c r="L204" i="5"/>
  <c r="M204" i="5" s="1"/>
  <c r="O204" i="5"/>
  <c r="N153" i="5"/>
  <c r="O153" i="5"/>
  <c r="N195" i="5"/>
  <c r="O195" i="5"/>
  <c r="R169" i="5"/>
  <c r="S169" i="5" s="1"/>
  <c r="O169" i="5"/>
  <c r="L100" i="5"/>
  <c r="M100" i="5" s="1"/>
  <c r="O100" i="5"/>
  <c r="N140" i="5"/>
  <c r="O140" i="5"/>
  <c r="L251" i="5"/>
  <c r="M251" i="5" s="1"/>
  <c r="O251" i="5"/>
  <c r="N212" i="5"/>
  <c r="O212" i="5"/>
  <c r="W151" i="5"/>
  <c r="X151" i="5" s="1"/>
  <c r="O151" i="5"/>
  <c r="N206" i="5"/>
  <c r="O206" i="5"/>
  <c r="L156" i="5"/>
  <c r="M156" i="5" s="1"/>
  <c r="O156" i="5"/>
  <c r="W11" i="5"/>
  <c r="X11" i="5" s="1"/>
  <c r="O11" i="5"/>
  <c r="L224" i="5"/>
  <c r="M224" i="5" s="1"/>
  <c r="O224" i="5"/>
  <c r="N177" i="5"/>
  <c r="O177" i="5"/>
  <c r="R160" i="5"/>
  <c r="S160" i="5" s="1"/>
  <c r="O160" i="5"/>
  <c r="L28" i="5"/>
  <c r="M28" i="5" s="1"/>
  <c r="O28" i="5"/>
  <c r="N80" i="5"/>
  <c r="O80" i="5"/>
  <c r="W198" i="5"/>
  <c r="X198" i="5" s="1"/>
  <c r="O198" i="5"/>
  <c r="R143" i="5"/>
  <c r="S143" i="5" s="1"/>
  <c r="O143" i="5"/>
  <c r="L77" i="5"/>
  <c r="M77" i="5" s="1"/>
  <c r="O77" i="5"/>
  <c r="R208" i="5"/>
  <c r="S208" i="5" s="1"/>
  <c r="O208" i="5"/>
  <c r="N157" i="5"/>
  <c r="O157" i="5"/>
  <c r="R192" i="5"/>
  <c r="S192" i="5" s="1"/>
  <c r="O192" i="5"/>
  <c r="R229" i="5"/>
  <c r="S229" i="5" s="1"/>
  <c r="O229" i="5"/>
  <c r="W235" i="5"/>
  <c r="X235" i="5" s="1"/>
  <c r="O235" i="5"/>
  <c r="R129" i="5"/>
  <c r="S129" i="5" s="1"/>
  <c r="O129" i="5"/>
  <c r="L99" i="5"/>
  <c r="M99" i="5" s="1"/>
  <c r="O99" i="5"/>
  <c r="L244" i="5"/>
  <c r="M244" i="5" s="1"/>
  <c r="O244" i="5"/>
  <c r="N186" i="5"/>
  <c r="O186" i="5"/>
  <c r="N9" i="5"/>
  <c r="O9" i="5"/>
  <c r="AA51" i="5"/>
  <c r="AB51" i="5" s="1"/>
  <c r="AA56" i="5"/>
  <c r="AB56" i="5" s="1"/>
  <c r="H58" i="5"/>
  <c r="H56" i="5"/>
  <c r="H54" i="5"/>
  <c r="H51" i="5"/>
  <c r="AA54" i="5"/>
  <c r="AB54" i="5" s="1"/>
  <c r="H52" i="5"/>
  <c r="O52" i="5" s="1"/>
  <c r="AA52" i="5"/>
  <c r="AB52" i="5" s="1"/>
  <c r="G59" i="5"/>
  <c r="AA50" i="5"/>
  <c r="AB50" i="5" s="1"/>
  <c r="H49" i="5"/>
  <c r="AA49" i="5"/>
  <c r="AB49" i="5" s="1"/>
  <c r="AF225" i="5"/>
  <c r="AF70" i="5"/>
  <c r="AF114" i="5"/>
  <c r="AF224" i="5"/>
  <c r="K59" i="5"/>
  <c r="AF162" i="5"/>
  <c r="R9" i="5"/>
  <c r="S9" i="5" s="1"/>
  <c r="AF140" i="5"/>
  <c r="T234" i="5"/>
  <c r="AF16" i="5"/>
  <c r="L85" i="5"/>
  <c r="M85" i="5" s="1"/>
  <c r="I174" i="5"/>
  <c r="I229" i="5"/>
  <c r="AF203" i="5"/>
  <c r="AF151" i="5"/>
  <c r="AF230" i="5"/>
  <c r="AF208" i="5"/>
  <c r="AF71" i="5"/>
  <c r="AB158" i="5"/>
  <c r="AF250" i="5"/>
  <c r="AF238" i="5"/>
  <c r="AB207" i="5"/>
  <c r="AF64" i="5"/>
  <c r="L9" i="5"/>
  <c r="M9" i="5" s="1"/>
  <c r="W9" i="5"/>
  <c r="X9" i="5" s="1"/>
  <c r="L66" i="5"/>
  <c r="M66" i="5" s="1"/>
  <c r="AB195" i="5"/>
  <c r="AF205" i="5"/>
  <c r="I9" i="5"/>
  <c r="R151" i="5"/>
  <c r="S151" i="5" s="1"/>
  <c r="T9" i="5"/>
  <c r="R85" i="5"/>
  <c r="S85" i="5" s="1"/>
  <c r="W85" i="5"/>
  <c r="X85" i="5" s="1"/>
  <c r="I85" i="5"/>
  <c r="T85" i="5"/>
  <c r="R67" i="5"/>
  <c r="S67" i="5" s="1"/>
  <c r="W195" i="5"/>
  <c r="X195" i="5" s="1"/>
  <c r="L232" i="5"/>
  <c r="M232" i="5" s="1"/>
  <c r="W173" i="5"/>
  <c r="X173" i="5" s="1"/>
  <c r="AB162" i="5"/>
  <c r="N174" i="5"/>
  <c r="T251" i="5"/>
  <c r="N232" i="5"/>
  <c r="R66" i="5"/>
  <c r="S66" i="5" s="1"/>
  <c r="T242" i="5"/>
  <c r="N178" i="5"/>
  <c r="N105" i="5"/>
  <c r="T199" i="5"/>
  <c r="L161" i="5"/>
  <c r="M161" i="5" s="1"/>
  <c r="AB205" i="5"/>
  <c r="L160" i="5"/>
  <c r="M160" i="5" s="1"/>
  <c r="R125" i="5"/>
  <c r="S125" i="5" s="1"/>
  <c r="T194" i="5"/>
  <c r="L16" i="5"/>
  <c r="M16" i="5" s="1"/>
  <c r="I16" i="5"/>
  <c r="T143" i="5"/>
  <c r="AF116" i="5"/>
  <c r="AF79" i="5"/>
  <c r="AF115" i="5"/>
  <c r="W143" i="5"/>
  <c r="X143" i="5" s="1"/>
  <c r="L143" i="5"/>
  <c r="M143" i="5" s="1"/>
  <c r="AF80" i="5"/>
  <c r="T244" i="5"/>
  <c r="AF77" i="5"/>
  <c r="AF212" i="5"/>
  <c r="AF191" i="5"/>
  <c r="AF214" i="5"/>
  <c r="R79" i="5"/>
  <c r="S79" i="5" s="1"/>
  <c r="AF65" i="5"/>
  <c r="L81" i="5"/>
  <c r="M81" i="5" s="1"/>
  <c r="N208" i="5"/>
  <c r="R231" i="5"/>
  <c r="S231" i="5" s="1"/>
  <c r="AF172" i="5"/>
  <c r="R165" i="5"/>
  <c r="S165" i="5" s="1"/>
  <c r="W81" i="5"/>
  <c r="X81" i="5" s="1"/>
  <c r="W180" i="5"/>
  <c r="X180" i="5" s="1"/>
  <c r="L186" i="5"/>
  <c r="M186" i="5" s="1"/>
  <c r="T178" i="5"/>
  <c r="AF161" i="5"/>
  <c r="N143" i="5"/>
  <c r="W186" i="5"/>
  <c r="X186" i="5" s="1"/>
  <c r="AF234" i="5"/>
  <c r="R81" i="5"/>
  <c r="S81" i="5" s="1"/>
  <c r="T165" i="5"/>
  <c r="I81" i="5"/>
  <c r="T81" i="5"/>
  <c r="T128" i="5"/>
  <c r="I125" i="5"/>
  <c r="T125" i="5"/>
  <c r="AF247" i="5"/>
  <c r="AF174" i="5"/>
  <c r="T158" i="5"/>
  <c r="AF104" i="5"/>
  <c r="R128" i="5"/>
  <c r="S128" i="5" s="1"/>
  <c r="AF235" i="5"/>
  <c r="AF239" i="5"/>
  <c r="AF17" i="5"/>
  <c r="I11" i="5"/>
  <c r="I158" i="5"/>
  <c r="I143" i="5"/>
  <c r="T186" i="5"/>
  <c r="AF27" i="5"/>
  <c r="AF204" i="5"/>
  <c r="AF216" i="5"/>
  <c r="R199" i="5"/>
  <c r="S199" i="5" s="1"/>
  <c r="L174" i="5"/>
  <c r="M174" i="5" s="1"/>
  <c r="W251" i="5"/>
  <c r="X251" i="5" s="1"/>
  <c r="W229" i="5"/>
  <c r="X229" i="5" s="1"/>
  <c r="T229" i="5"/>
  <c r="I199" i="5"/>
  <c r="I235" i="5"/>
  <c r="AF158" i="5"/>
  <c r="R243" i="5"/>
  <c r="S243" i="5" s="1"/>
  <c r="N77" i="5"/>
  <c r="R174" i="5"/>
  <c r="S174" i="5" s="1"/>
  <c r="T116" i="5"/>
  <c r="L235" i="5"/>
  <c r="M235" i="5" s="1"/>
  <c r="L194" i="5"/>
  <c r="M194" i="5" s="1"/>
  <c r="AF233" i="5"/>
  <c r="AF197" i="5"/>
  <c r="R77" i="5"/>
  <c r="S77" i="5" s="1"/>
  <c r="N235" i="5"/>
  <c r="T174" i="5"/>
  <c r="W157" i="5"/>
  <c r="X157" i="5" s="1"/>
  <c r="R235" i="5"/>
  <c r="S235" i="5" s="1"/>
  <c r="L140" i="5"/>
  <c r="M140" i="5" s="1"/>
  <c r="R214" i="5"/>
  <c r="S214" i="5" s="1"/>
  <c r="N194" i="5"/>
  <c r="W214" i="5"/>
  <c r="X214" i="5" s="1"/>
  <c r="L199" i="5"/>
  <c r="M199" i="5" s="1"/>
  <c r="W199" i="5"/>
  <c r="X199" i="5" s="1"/>
  <c r="T243" i="5"/>
  <c r="AB160" i="5"/>
  <c r="L229" i="5"/>
  <c r="M229" i="5" s="1"/>
  <c r="AF155" i="5"/>
  <c r="T16" i="5"/>
  <c r="W67" i="5"/>
  <c r="X67" i="5" s="1"/>
  <c r="W105" i="5"/>
  <c r="X105" i="5" s="1"/>
  <c r="R251" i="5"/>
  <c r="S251" i="5" s="1"/>
  <c r="T103" i="5"/>
  <c r="N251" i="5"/>
  <c r="AF18" i="5"/>
  <c r="AF69" i="5"/>
  <c r="I140" i="5"/>
  <c r="AF193" i="5"/>
  <c r="AB230" i="5"/>
  <c r="AF180" i="5"/>
  <c r="AF166" i="5"/>
  <c r="AF231" i="5"/>
  <c r="W179" i="5"/>
  <c r="X179" i="5" s="1"/>
  <c r="I84" i="5"/>
  <c r="N155" i="5"/>
  <c r="W209" i="5"/>
  <c r="X209" i="5" s="1"/>
  <c r="N175" i="5"/>
  <c r="R166" i="5"/>
  <c r="S166" i="5" s="1"/>
  <c r="I205" i="5"/>
  <c r="W140" i="5"/>
  <c r="X140" i="5" s="1"/>
  <c r="AF142" i="5"/>
  <c r="W164" i="5"/>
  <c r="X164" i="5" s="1"/>
  <c r="R83" i="5"/>
  <c r="S83" i="5" s="1"/>
  <c r="T140" i="5"/>
  <c r="L80" i="5"/>
  <c r="M80" i="5" s="1"/>
  <c r="W69" i="5"/>
  <c r="X69" i="5" s="1"/>
  <c r="N16" i="5"/>
  <c r="R140" i="5"/>
  <c r="S140" i="5" s="1"/>
  <c r="I251" i="5"/>
  <c r="I105" i="5"/>
  <c r="T66" i="5"/>
  <c r="T105" i="5"/>
  <c r="AF237" i="5"/>
  <c r="I160" i="5"/>
  <c r="N142" i="5"/>
  <c r="AF98" i="5"/>
  <c r="T72" i="5"/>
  <c r="T8" i="5"/>
  <c r="N72" i="5"/>
  <c r="W80" i="5"/>
  <c r="X80" i="5" s="1"/>
  <c r="L105" i="5"/>
  <c r="M105" i="5" s="1"/>
  <c r="L155" i="5"/>
  <c r="M155" i="5" s="1"/>
  <c r="R16" i="5"/>
  <c r="S16" i="5" s="1"/>
  <c r="L208" i="5"/>
  <c r="M208" i="5" s="1"/>
  <c r="W83" i="5"/>
  <c r="X83" i="5" s="1"/>
  <c r="W160" i="5"/>
  <c r="X160" i="5" s="1"/>
  <c r="I247" i="5"/>
  <c r="R186" i="5"/>
  <c r="S186" i="5" s="1"/>
  <c r="I8" i="5"/>
  <c r="I236" i="5"/>
  <c r="T80" i="5"/>
  <c r="T163" i="5"/>
  <c r="AB86" i="5"/>
  <c r="AF171" i="5"/>
  <c r="AF226" i="5"/>
  <c r="AF157" i="5"/>
  <c r="AF126" i="5"/>
  <c r="I72" i="5"/>
  <c r="W135" i="5"/>
  <c r="X135" i="5" s="1"/>
  <c r="R142" i="5"/>
  <c r="S142" i="5" s="1"/>
  <c r="N196" i="5"/>
  <c r="L175" i="5"/>
  <c r="M175" i="5" s="1"/>
  <c r="I163" i="5"/>
  <c r="N66" i="5"/>
  <c r="L72" i="5"/>
  <c r="M72" i="5" s="1"/>
  <c r="R115" i="5"/>
  <c r="S115" i="5" s="1"/>
  <c r="R155" i="5"/>
  <c r="S155" i="5" s="1"/>
  <c r="W212" i="5"/>
  <c r="X212" i="5" s="1"/>
  <c r="R247" i="5"/>
  <c r="S247" i="5" s="1"/>
  <c r="W84" i="5"/>
  <c r="X84" i="5" s="1"/>
  <c r="T216" i="5"/>
  <c r="I228" i="5"/>
  <c r="I80" i="5"/>
  <c r="I186" i="5"/>
  <c r="AF86" i="5"/>
  <c r="AF28" i="5"/>
  <c r="AF141" i="5"/>
  <c r="AF105" i="5"/>
  <c r="AF192" i="5"/>
  <c r="T160" i="5"/>
  <c r="T236" i="5"/>
  <c r="AF31" i="5"/>
  <c r="T155" i="5"/>
  <c r="AB142" i="5"/>
  <c r="AF127" i="5"/>
  <c r="AF177" i="5"/>
  <c r="AF72" i="5"/>
  <c r="AF168" i="5"/>
  <c r="AF228" i="5"/>
  <c r="T250" i="5"/>
  <c r="I175" i="5"/>
  <c r="I156" i="5"/>
  <c r="AB156" i="5"/>
  <c r="AB249" i="5"/>
  <c r="AF82" i="5"/>
  <c r="AF176" i="5"/>
  <c r="I66" i="5"/>
  <c r="I248" i="5"/>
  <c r="T239" i="5"/>
  <c r="T84" i="5"/>
  <c r="AF251" i="5"/>
  <c r="AF99" i="5"/>
  <c r="AF202" i="5"/>
  <c r="AF143" i="5"/>
  <c r="AF84" i="5"/>
  <c r="T213" i="5"/>
  <c r="R11" i="5"/>
  <c r="S11" i="5" s="1"/>
  <c r="W190" i="5"/>
  <c r="X190" i="5" s="1"/>
  <c r="L241" i="5"/>
  <c r="M241" i="5" s="1"/>
  <c r="N241" i="5"/>
  <c r="N245" i="5"/>
  <c r="R28" i="5"/>
  <c r="S28" i="5" s="1"/>
  <c r="I225" i="5"/>
  <c r="AB66" i="5"/>
  <c r="W117" i="5"/>
  <c r="X117" i="5" s="1"/>
  <c r="L65" i="5"/>
  <c r="M65" i="5" s="1"/>
  <c r="R190" i="5"/>
  <c r="S190" i="5" s="1"/>
  <c r="W244" i="5"/>
  <c r="X244" i="5" s="1"/>
  <c r="N239" i="5"/>
  <c r="W158" i="5"/>
  <c r="X158" i="5" s="1"/>
  <c r="W208" i="5"/>
  <c r="X208" i="5" s="1"/>
  <c r="L198" i="5"/>
  <c r="M198" i="5" s="1"/>
  <c r="W125" i="5"/>
  <c r="X125" i="5" s="1"/>
  <c r="N160" i="5"/>
  <c r="T225" i="5"/>
  <c r="I244" i="5"/>
  <c r="T176" i="5"/>
  <c r="I128" i="5"/>
  <c r="R244" i="5"/>
  <c r="S244" i="5" s="1"/>
  <c r="I190" i="5"/>
  <c r="T198" i="5"/>
  <c r="W156" i="5"/>
  <c r="X156" i="5" s="1"/>
  <c r="N198" i="5"/>
  <c r="N244" i="5"/>
  <c r="W207" i="5"/>
  <c r="X207" i="5" s="1"/>
  <c r="L158" i="5"/>
  <c r="M158" i="5" s="1"/>
  <c r="R198" i="5"/>
  <c r="S198" i="5" s="1"/>
  <c r="N125" i="5"/>
  <c r="N231" i="5"/>
  <c r="R156" i="5"/>
  <c r="S156" i="5" s="1"/>
  <c r="R117" i="5"/>
  <c r="S117" i="5" s="1"/>
  <c r="I231" i="5"/>
  <c r="T142" i="5"/>
  <c r="AB200" i="5"/>
  <c r="AB192" i="5"/>
  <c r="T241" i="5"/>
  <c r="I164" i="5"/>
  <c r="T11" i="5"/>
  <c r="N200" i="5"/>
  <c r="N225" i="5"/>
  <c r="T231" i="5"/>
  <c r="N158" i="5"/>
  <c r="L245" i="5"/>
  <c r="M245" i="5" s="1"/>
  <c r="R194" i="5"/>
  <c r="S194" i="5" s="1"/>
  <c r="AB211" i="5"/>
  <c r="N28" i="5"/>
  <c r="N11" i="5"/>
  <c r="N156" i="5"/>
  <c r="R163" i="5"/>
  <c r="S163" i="5" s="1"/>
  <c r="L125" i="5"/>
  <c r="M125" i="5" s="1"/>
  <c r="I117" i="5"/>
  <c r="T208" i="5"/>
  <c r="T245" i="5"/>
  <c r="AB204" i="5"/>
  <c r="AB223" i="5"/>
  <c r="AB243" i="5"/>
  <c r="AB99" i="5"/>
  <c r="AB70" i="5"/>
  <c r="AB115" i="5"/>
  <c r="AB225" i="5"/>
  <c r="AB71" i="5"/>
  <c r="AB72" i="5"/>
  <c r="AB168" i="5"/>
  <c r="L11" i="5"/>
  <c r="M11" i="5" s="1"/>
  <c r="R225" i="5"/>
  <c r="S225" i="5" s="1"/>
  <c r="I99" i="5"/>
  <c r="W241" i="5"/>
  <c r="X241" i="5" s="1"/>
  <c r="T99" i="5"/>
  <c r="I198" i="5"/>
  <c r="N29" i="5"/>
  <c r="T191" i="5"/>
  <c r="N190" i="5"/>
  <c r="T170" i="5"/>
  <c r="W21" i="5"/>
  <c r="X21" i="5" s="1"/>
  <c r="N207" i="5"/>
  <c r="W231" i="5"/>
  <c r="X231" i="5" s="1"/>
  <c r="T27" i="5"/>
  <c r="R29" i="5"/>
  <c r="S29" i="5" s="1"/>
  <c r="R72" i="5"/>
  <c r="S72" i="5" s="1"/>
  <c r="R157" i="5"/>
  <c r="S157" i="5" s="1"/>
  <c r="N180" i="5"/>
  <c r="L225" i="5"/>
  <c r="M225" i="5" s="1"/>
  <c r="I245" i="5"/>
  <c r="L207" i="5"/>
  <c r="M207" i="5" s="1"/>
  <c r="W127" i="5"/>
  <c r="X127" i="5" s="1"/>
  <c r="W232" i="5"/>
  <c r="X232" i="5" s="1"/>
  <c r="L163" i="5"/>
  <c r="M163" i="5" s="1"/>
  <c r="I207" i="5"/>
  <c r="I213" i="5"/>
  <c r="I167" i="5"/>
  <c r="I241" i="5"/>
  <c r="I155" i="5"/>
  <c r="I194" i="5"/>
  <c r="T117" i="5"/>
  <c r="T235" i="5"/>
  <c r="AB242" i="5"/>
  <c r="AB98" i="5"/>
  <c r="AB234" i="5"/>
  <c r="AB116" i="5"/>
  <c r="T156" i="5"/>
  <c r="AB128" i="5"/>
  <c r="AB114" i="5"/>
  <c r="AB176" i="5"/>
  <c r="AB246" i="5"/>
  <c r="AB29" i="5"/>
  <c r="AF163" i="5"/>
  <c r="AB68" i="5"/>
  <c r="N214" i="5"/>
  <c r="I243" i="5"/>
  <c r="N203" i="5"/>
  <c r="R239" i="5"/>
  <c r="S239" i="5" s="1"/>
  <c r="I233" i="5"/>
  <c r="T214" i="5"/>
  <c r="T203" i="5"/>
  <c r="I237" i="5"/>
  <c r="AB164" i="5"/>
  <c r="T98" i="5"/>
  <c r="L79" i="5"/>
  <c r="M79" i="5" s="1"/>
  <c r="L157" i="5"/>
  <c r="M157" i="5" s="1"/>
  <c r="L243" i="5"/>
  <c r="M243" i="5" s="1"/>
  <c r="T201" i="5"/>
  <c r="T161" i="5"/>
  <c r="N163" i="5"/>
  <c r="L214" i="5"/>
  <c r="M214" i="5" s="1"/>
  <c r="L117" i="5"/>
  <c r="M117" i="5" s="1"/>
  <c r="T83" i="5"/>
  <c r="W100" i="5"/>
  <c r="X100" i="5" s="1"/>
  <c r="T190" i="5"/>
  <c r="T237" i="5"/>
  <c r="I208" i="5"/>
  <c r="AF164" i="5"/>
  <c r="AF195" i="5"/>
  <c r="AF101" i="5"/>
  <c r="AF19" i="5"/>
  <c r="AB238" i="5"/>
  <c r="AF20" i="5"/>
  <c r="AF210" i="5"/>
  <c r="N164" i="5"/>
  <c r="T164" i="5"/>
  <c r="AB79" i="5"/>
  <c r="N135" i="5"/>
  <c r="I126" i="5"/>
  <c r="AB224" i="5"/>
  <c r="AB82" i="5"/>
  <c r="T207" i="5"/>
  <c r="AF198" i="5"/>
  <c r="AF209" i="5"/>
  <c r="AB166" i="5"/>
  <c r="AB231" i="5"/>
  <c r="T67" i="5"/>
  <c r="W8" i="5"/>
  <c r="X8" i="5" s="1"/>
  <c r="N100" i="5"/>
  <c r="L67" i="5"/>
  <c r="M67" i="5" s="1"/>
  <c r="N70" i="5"/>
  <c r="L126" i="5"/>
  <c r="M126" i="5" s="1"/>
  <c r="R84" i="5"/>
  <c r="S84" i="5" s="1"/>
  <c r="R135" i="5"/>
  <c r="S135" i="5" s="1"/>
  <c r="I234" i="5"/>
  <c r="N247" i="5"/>
  <c r="T212" i="5"/>
  <c r="I142" i="5"/>
  <c r="T78" i="5"/>
  <c r="I214" i="5"/>
  <c r="AB77" i="5"/>
  <c r="AF178" i="5"/>
  <c r="AF229" i="5"/>
  <c r="AB193" i="5"/>
  <c r="AB31" i="5"/>
  <c r="AF232" i="5"/>
  <c r="AF160" i="5"/>
  <c r="AB78" i="5"/>
  <c r="AB171" i="5"/>
  <c r="AF194" i="5"/>
  <c r="AF128" i="5"/>
  <c r="AB202" i="5"/>
  <c r="AF165" i="5"/>
  <c r="AF134" i="5"/>
  <c r="AB127" i="5"/>
  <c r="AF246" i="5"/>
  <c r="AF29" i="5"/>
  <c r="AF173" i="5"/>
  <c r="AF244" i="5"/>
  <c r="AF81" i="5"/>
  <c r="N243" i="5"/>
  <c r="AB240" i="5"/>
  <c r="AB84" i="5"/>
  <c r="R100" i="5"/>
  <c r="S100" i="5" s="1"/>
  <c r="I70" i="5"/>
  <c r="AB232" i="5"/>
  <c r="AF243" i="5"/>
  <c r="AB28" i="5"/>
  <c r="AB180" i="5"/>
  <c r="N8" i="5"/>
  <c r="N84" i="5"/>
  <c r="W247" i="5"/>
  <c r="X247" i="5" s="1"/>
  <c r="T223" i="5"/>
  <c r="I227" i="5"/>
  <c r="I20" i="5"/>
  <c r="I103" i="5"/>
  <c r="AB178" i="5"/>
  <c r="AB247" i="5"/>
  <c r="AB151" i="5"/>
  <c r="AF78" i="5"/>
  <c r="AF248" i="5"/>
  <c r="AF117" i="5"/>
  <c r="AB194" i="5"/>
  <c r="AF63" i="5"/>
  <c r="AB134" i="5"/>
  <c r="AF199" i="5"/>
  <c r="W65" i="5"/>
  <c r="X65" i="5" s="1"/>
  <c r="W103" i="5"/>
  <c r="X103" i="5" s="1"/>
  <c r="AB233" i="5"/>
  <c r="AB129" i="5"/>
  <c r="AB209" i="5"/>
  <c r="I159" i="5"/>
  <c r="AF68" i="5"/>
  <c r="AB197" i="5"/>
  <c r="AF249" i="5"/>
  <c r="N68" i="5"/>
  <c r="L173" i="5"/>
  <c r="M173" i="5" s="1"/>
  <c r="N191" i="5"/>
  <c r="L8" i="5"/>
  <c r="M8" i="5" s="1"/>
  <c r="L68" i="5"/>
  <c r="M68" i="5" s="1"/>
  <c r="T159" i="5"/>
  <c r="L239" i="5"/>
  <c r="M239" i="5" s="1"/>
  <c r="L227" i="5"/>
  <c r="M227" i="5" s="1"/>
  <c r="I250" i="5"/>
  <c r="N79" i="5"/>
  <c r="L142" i="5"/>
  <c r="M142" i="5" s="1"/>
  <c r="I203" i="5"/>
  <c r="I67" i="5"/>
  <c r="I188" i="5"/>
  <c r="I161" i="5"/>
  <c r="I173" i="5"/>
  <c r="I100" i="5"/>
  <c r="T232" i="5"/>
  <c r="T177" i="5"/>
  <c r="T100" i="5"/>
  <c r="T247" i="5"/>
  <c r="AF103" i="5"/>
  <c r="AF30" i="5"/>
  <c r="AB245" i="5"/>
  <c r="AF181" i="5"/>
  <c r="AF215" i="5"/>
  <c r="L114" i="5"/>
  <c r="M114" i="5" s="1"/>
  <c r="N114" i="5"/>
  <c r="W114" i="5"/>
  <c r="X114" i="5" s="1"/>
  <c r="R114" i="5"/>
  <c r="S114" i="5" s="1"/>
  <c r="L210" i="5"/>
  <c r="M210" i="5" s="1"/>
  <c r="N210" i="5"/>
  <c r="I210" i="5"/>
  <c r="R248" i="5"/>
  <c r="S248" i="5" s="1"/>
  <c r="L248" i="5"/>
  <c r="M248" i="5" s="1"/>
  <c r="L195" i="5"/>
  <c r="M195" i="5" s="1"/>
  <c r="R195" i="5"/>
  <c r="S195" i="5" s="1"/>
  <c r="I195" i="5"/>
  <c r="AB177" i="5"/>
  <c r="W215" i="5"/>
  <c r="X215" i="5" s="1"/>
  <c r="N215" i="5"/>
  <c r="AF242" i="5"/>
  <c r="W129" i="5"/>
  <c r="X129" i="5" s="1"/>
  <c r="N129" i="5"/>
  <c r="L129" i="5"/>
  <c r="M129" i="5" s="1"/>
  <c r="AB244" i="5"/>
  <c r="R168" i="5"/>
  <c r="S168" i="5" s="1"/>
  <c r="L168" i="5"/>
  <c r="M168" i="5" s="1"/>
  <c r="AA107" i="5"/>
  <c r="AB107" i="5" s="1"/>
  <c r="AE107" i="5"/>
  <c r="AF107" i="5" s="1"/>
  <c r="R153" i="5"/>
  <c r="S153" i="5" s="1"/>
  <c r="W188" i="5"/>
  <c r="X188" i="5" s="1"/>
  <c r="R188" i="5"/>
  <c r="S188" i="5" s="1"/>
  <c r="L167" i="5"/>
  <c r="M167" i="5" s="1"/>
  <c r="T167" i="5"/>
  <c r="N167" i="5"/>
  <c r="AB190" i="5"/>
  <c r="L249" i="5"/>
  <c r="M249" i="5" s="1"/>
  <c r="N249" i="5"/>
  <c r="W249" i="5"/>
  <c r="X249" i="5" s="1"/>
  <c r="N223" i="5"/>
  <c r="T28" i="5"/>
  <c r="R99" i="5"/>
  <c r="S99" i="5" s="1"/>
  <c r="R223" i="5"/>
  <c r="S223" i="5" s="1"/>
  <c r="T21" i="5"/>
  <c r="R103" i="5"/>
  <c r="S103" i="5" s="1"/>
  <c r="L103" i="5"/>
  <c r="M103" i="5" s="1"/>
  <c r="I168" i="5"/>
  <c r="N179" i="5"/>
  <c r="I223" i="5"/>
  <c r="I176" i="5"/>
  <c r="I114" i="5"/>
  <c r="T129" i="5"/>
  <c r="R80" i="5"/>
  <c r="S80" i="5" s="1"/>
  <c r="AB126" i="5"/>
  <c r="AB228" i="5"/>
  <c r="L20" i="5"/>
  <c r="M20" i="5" s="1"/>
  <c r="N20" i="5"/>
  <c r="R104" i="5"/>
  <c r="S104" i="5" s="1"/>
  <c r="I104" i="5"/>
  <c r="W104" i="5"/>
  <c r="X104" i="5" s="1"/>
  <c r="N104" i="5"/>
  <c r="AF200" i="5"/>
  <c r="H182" i="5"/>
  <c r="AB229" i="5"/>
  <c r="AF190" i="5"/>
  <c r="N99" i="5"/>
  <c r="R172" i="5"/>
  <c r="S172" i="5" s="1"/>
  <c r="N172" i="5"/>
  <c r="I172" i="5"/>
  <c r="W172" i="5"/>
  <c r="X172" i="5" s="1"/>
  <c r="L172" i="5"/>
  <c r="M172" i="5" s="1"/>
  <c r="N224" i="5"/>
  <c r="W224" i="5"/>
  <c r="X224" i="5" s="1"/>
  <c r="I224" i="5"/>
  <c r="I215" i="5"/>
  <c r="T249" i="5"/>
  <c r="AF100" i="5"/>
  <c r="N128" i="5"/>
  <c r="W128" i="5"/>
  <c r="X128" i="5" s="1"/>
  <c r="AB141" i="5"/>
  <c r="AB165" i="5"/>
  <c r="AB208" i="5"/>
  <c r="AB30" i="5"/>
  <c r="AF245" i="5"/>
  <c r="R64" i="5"/>
  <c r="S64" i="5" s="1"/>
  <c r="W64" i="5"/>
  <c r="X64" i="5" s="1"/>
  <c r="T227" i="5"/>
  <c r="I169" i="5"/>
  <c r="L177" i="5"/>
  <c r="M177" i="5" s="1"/>
  <c r="W177" i="5"/>
  <c r="X177" i="5" s="1"/>
  <c r="R204" i="5"/>
  <c r="S204" i="5" s="1"/>
  <c r="I204" i="5"/>
  <c r="N204" i="5"/>
  <c r="W204" i="5"/>
  <c r="X204" i="5" s="1"/>
  <c r="N216" i="5"/>
  <c r="W216" i="5"/>
  <c r="X216" i="5" s="1"/>
  <c r="L216" i="5"/>
  <c r="M216" i="5" s="1"/>
  <c r="R202" i="5"/>
  <c r="S202" i="5" s="1"/>
  <c r="W202" i="5"/>
  <c r="X202" i="5" s="1"/>
  <c r="L202" i="5"/>
  <c r="M202" i="5" s="1"/>
  <c r="AB248" i="5"/>
  <c r="T188" i="5"/>
  <c r="W99" i="5"/>
  <c r="X99" i="5" s="1"/>
  <c r="N229" i="5"/>
  <c r="T153" i="5"/>
  <c r="W167" i="5"/>
  <c r="X167" i="5" s="1"/>
  <c r="W170" i="5"/>
  <c r="X170" i="5" s="1"/>
  <c r="N170" i="5"/>
  <c r="L104" i="5"/>
  <c r="M104" i="5" s="1"/>
  <c r="T215" i="5"/>
  <c r="AF26" i="5"/>
  <c r="AF156" i="5"/>
  <c r="L178" i="5"/>
  <c r="M178" i="5" s="1"/>
  <c r="R178" i="5"/>
  <c r="S178" i="5" s="1"/>
  <c r="AA182" i="5"/>
  <c r="AB182" i="5" s="1"/>
  <c r="AE182" i="5"/>
  <c r="AF182" i="5" s="1"/>
  <c r="R211" i="5"/>
  <c r="S211" i="5" s="1"/>
  <c r="T197" i="5"/>
  <c r="T228" i="5"/>
  <c r="R228" i="5"/>
  <c r="S228" i="5" s="1"/>
  <c r="L228" i="5"/>
  <c r="M228" i="5" s="1"/>
  <c r="N228" i="5"/>
  <c r="L169" i="5"/>
  <c r="M169" i="5" s="1"/>
  <c r="N169" i="5"/>
  <c r="W169" i="5"/>
  <c r="X169" i="5" s="1"/>
  <c r="R236" i="5"/>
  <c r="S236" i="5" s="1"/>
  <c r="L236" i="5"/>
  <c r="M236" i="5" s="1"/>
  <c r="AB203" i="5"/>
  <c r="L240" i="5"/>
  <c r="M240" i="5" s="1"/>
  <c r="N240" i="5"/>
  <c r="W240" i="5"/>
  <c r="X240" i="5" s="1"/>
  <c r="R240" i="5"/>
  <c r="S240" i="5" s="1"/>
  <c r="AB161" i="5"/>
  <c r="AB173" i="5"/>
  <c r="W20" i="5"/>
  <c r="X20" i="5" s="1"/>
  <c r="W228" i="5"/>
  <c r="X228" i="5" s="1"/>
  <c r="W210" i="5"/>
  <c r="X210" i="5" s="1"/>
  <c r="W161" i="5"/>
  <c r="X161" i="5" s="1"/>
  <c r="R161" i="5"/>
  <c r="S161" i="5" s="1"/>
  <c r="AB100" i="5"/>
  <c r="W28" i="5"/>
  <c r="X28" i="5" s="1"/>
  <c r="N176" i="5"/>
  <c r="W176" i="5"/>
  <c r="X176" i="5" s="1"/>
  <c r="L176" i="5"/>
  <c r="M176" i="5" s="1"/>
  <c r="R176" i="5"/>
  <c r="S176" i="5" s="1"/>
  <c r="R167" i="5"/>
  <c r="S167" i="5" s="1"/>
  <c r="W153" i="5"/>
  <c r="X153" i="5" s="1"/>
  <c r="N202" i="5"/>
  <c r="N236" i="5"/>
  <c r="R210" i="5"/>
  <c r="S210" i="5" s="1"/>
  <c r="W237" i="5"/>
  <c r="X237" i="5" s="1"/>
  <c r="T18" i="5"/>
  <c r="W168" i="5"/>
  <c r="X168" i="5" s="1"/>
  <c r="R177" i="5"/>
  <c r="S177" i="5" s="1"/>
  <c r="N211" i="5"/>
  <c r="L153" i="5"/>
  <c r="M153" i="5" s="1"/>
  <c r="W227" i="5"/>
  <c r="X227" i="5" s="1"/>
  <c r="T210" i="5"/>
  <c r="L196" i="5"/>
  <c r="M196" i="5" s="1"/>
  <c r="W196" i="5"/>
  <c r="X196" i="5" s="1"/>
  <c r="T20" i="5"/>
  <c r="T114" i="5"/>
  <c r="N65" i="5"/>
  <c r="N168" i="5"/>
  <c r="I177" i="5"/>
  <c r="N233" i="5"/>
  <c r="N227" i="5"/>
  <c r="R224" i="5"/>
  <c r="S224" i="5" s="1"/>
  <c r="AE12" i="5"/>
  <c r="AF12" i="5" s="1"/>
  <c r="AA12" i="5"/>
  <c r="AB12" i="5" s="1"/>
  <c r="N83" i="5"/>
  <c r="L223" i="5"/>
  <c r="M223" i="5" s="1"/>
  <c r="R31" i="5"/>
  <c r="S31" i="5" s="1"/>
  <c r="L31" i="5"/>
  <c r="M31" i="5" s="1"/>
  <c r="W31" i="5"/>
  <c r="X31" i="5" s="1"/>
  <c r="N31" i="5"/>
  <c r="L180" i="5"/>
  <c r="M180" i="5" s="1"/>
  <c r="L179" i="5"/>
  <c r="M179" i="5" s="1"/>
  <c r="T240" i="5"/>
  <c r="W171" i="5"/>
  <c r="X171" i="5" s="1"/>
  <c r="L171" i="5"/>
  <c r="M171" i="5" s="1"/>
  <c r="I232" i="5"/>
  <c r="I178" i="5"/>
  <c r="I28" i="5"/>
  <c r="I179" i="5"/>
  <c r="T71" i="5"/>
  <c r="T202" i="5"/>
  <c r="T179" i="5"/>
  <c r="T31" i="5"/>
  <c r="AA144" i="5"/>
  <c r="AB144" i="5" s="1"/>
  <c r="AE144" i="5"/>
  <c r="AF144" i="5" s="1"/>
  <c r="AA22" i="5"/>
  <c r="AB22" i="5" s="1"/>
  <c r="AE22" i="5"/>
  <c r="AF22" i="5" s="1"/>
  <c r="AE217" i="5"/>
  <c r="AF217" i="5" s="1"/>
  <c r="AA217" i="5"/>
  <c r="AB217" i="5" s="1"/>
  <c r="T200" i="5"/>
  <c r="I101" i="5"/>
  <c r="T169" i="5"/>
  <c r="T204" i="5"/>
  <c r="I31" i="5"/>
  <c r="I157" i="5"/>
  <c r="I206" i="5"/>
  <c r="I135" i="5"/>
  <c r="T157" i="5"/>
  <c r="T173" i="5"/>
  <c r="I240" i="5"/>
  <c r="I212" i="5"/>
  <c r="AB26" i="5"/>
  <c r="AF189" i="5"/>
  <c r="AB212" i="5"/>
  <c r="AB235" i="5"/>
  <c r="AF167" i="5"/>
  <c r="AF154" i="5"/>
  <c r="AB17" i="5"/>
  <c r="AE87" i="5"/>
  <c r="AF87" i="5" s="1"/>
  <c r="AA87" i="5"/>
  <c r="AB87" i="5" s="1"/>
  <c r="AF196" i="5"/>
  <c r="AB117" i="5"/>
  <c r="AF159" i="5"/>
  <c r="AB155" i="5"/>
  <c r="AB63" i="5"/>
  <c r="N165" i="5"/>
  <c r="L165" i="5"/>
  <c r="M165" i="5" s="1"/>
  <c r="AA136" i="5"/>
  <c r="AB136" i="5" s="1"/>
  <c r="AE136" i="5"/>
  <c r="AF136" i="5" s="1"/>
  <c r="AF135" i="5"/>
  <c r="AB198" i="5"/>
  <c r="AB143" i="5"/>
  <c r="AB186" i="5"/>
  <c r="AF188" i="5"/>
  <c r="AE252" i="5"/>
  <c r="AF252" i="5" s="1"/>
  <c r="AA252" i="5"/>
  <c r="AB252" i="5" s="1"/>
  <c r="T101" i="5"/>
  <c r="I171" i="5"/>
  <c r="T172" i="5"/>
  <c r="T104" i="5"/>
  <c r="T168" i="5"/>
  <c r="T224" i="5"/>
  <c r="AB85" i="5"/>
  <c r="AF170" i="5"/>
  <c r="AB189" i="5"/>
  <c r="AF221" i="5"/>
  <c r="AB174" i="5"/>
  <c r="AB167" i="5"/>
  <c r="AB154" i="5"/>
  <c r="AB103" i="5"/>
  <c r="AB179" i="5"/>
  <c r="AB196" i="5"/>
  <c r="AF213" i="5"/>
  <c r="AB236" i="5"/>
  <c r="AB159" i="5"/>
  <c r="AB135" i="5"/>
  <c r="AB83" i="5"/>
  <c r="AB241" i="5"/>
  <c r="AB125" i="5"/>
  <c r="AB81" i="5"/>
  <c r="AF175" i="5"/>
  <c r="AF186" i="5"/>
  <c r="AB188" i="5"/>
  <c r="AA73" i="5"/>
  <c r="AB73" i="5" s="1"/>
  <c r="AE73" i="5"/>
  <c r="AF73" i="5" s="1"/>
  <c r="T221" i="5"/>
  <c r="T175" i="5"/>
  <c r="AA118" i="5"/>
  <c r="AB118" i="5" s="1"/>
  <c r="AE118" i="5"/>
  <c r="AF118" i="5" s="1"/>
  <c r="I216" i="5"/>
  <c r="I129" i="5"/>
  <c r="AF67" i="5"/>
  <c r="AF85" i="5"/>
  <c r="AB170" i="5"/>
  <c r="AB221" i="5"/>
  <c r="AB239" i="5"/>
  <c r="AB227" i="5"/>
  <c r="AF206" i="5"/>
  <c r="AF179" i="5"/>
  <c r="AB213" i="5"/>
  <c r="AF236" i="5"/>
  <c r="AB65" i="5"/>
  <c r="AB226" i="5"/>
  <c r="AF153" i="5"/>
  <c r="AF211" i="5"/>
  <c r="AF169" i="5"/>
  <c r="AB18" i="5"/>
  <c r="AB69" i="5"/>
  <c r="AB157" i="5"/>
  <c r="AB172" i="5"/>
  <c r="AB214" i="5"/>
  <c r="AB237" i="5"/>
  <c r="AF83" i="5"/>
  <c r="AF241" i="5"/>
  <c r="AB199" i="5"/>
  <c r="AF66" i="5"/>
  <c r="AB175" i="5"/>
  <c r="AF201" i="5"/>
  <c r="AF207" i="5"/>
  <c r="AE32" i="5"/>
  <c r="AF32" i="5" s="1"/>
  <c r="AA32" i="5"/>
  <c r="AB32" i="5" s="1"/>
  <c r="AE130" i="5"/>
  <c r="AF130" i="5" s="1"/>
  <c r="AA130" i="5"/>
  <c r="AB130" i="5" s="1"/>
  <c r="I83" i="5"/>
  <c r="I21" i="5"/>
  <c r="I239" i="5"/>
  <c r="I180" i="5"/>
  <c r="I202" i="5"/>
  <c r="I153" i="5"/>
  <c r="I68" i="5"/>
  <c r="T206" i="5"/>
  <c r="T166" i="5"/>
  <c r="T180" i="5"/>
  <c r="T195" i="5"/>
  <c r="T79" i="5"/>
  <c r="AB67" i="5"/>
  <c r="AB140" i="5"/>
  <c r="AB251" i="5"/>
  <c r="AF227" i="5"/>
  <c r="AB206" i="5"/>
  <c r="AB27" i="5"/>
  <c r="AF129" i="5"/>
  <c r="AF223" i="5"/>
  <c r="AB153" i="5"/>
  <c r="AF240" i="5"/>
  <c r="AB169" i="5"/>
  <c r="AB104" i="5"/>
  <c r="AB216" i="5"/>
  <c r="AB21" i="5"/>
  <c r="R164" i="5"/>
  <c r="S164" i="5" s="1"/>
  <c r="AB163" i="5"/>
  <c r="AB101" i="5"/>
  <c r="AB19" i="5"/>
  <c r="AB64" i="5"/>
  <c r="AB80" i="5"/>
  <c r="AB105" i="5"/>
  <c r="AB181" i="5"/>
  <c r="AB215" i="5"/>
  <c r="AB250" i="5"/>
  <c r="AB20" i="5"/>
  <c r="AB210" i="5"/>
  <c r="AB201" i="5"/>
  <c r="L197" i="5"/>
  <c r="M197" i="5" s="1"/>
  <c r="W197" i="5"/>
  <c r="X197" i="5" s="1"/>
  <c r="H130" i="5"/>
  <c r="L130" i="5" s="1"/>
  <c r="M130" i="5" s="1"/>
  <c r="L70" i="5"/>
  <c r="M70" i="5" s="1"/>
  <c r="I115" i="5"/>
  <c r="T211" i="5"/>
  <c r="I209" i="5"/>
  <c r="W159" i="5"/>
  <c r="X159" i="5" s="1"/>
  <c r="L206" i="5"/>
  <c r="M206" i="5" s="1"/>
  <c r="R191" i="5"/>
  <c r="S191" i="5" s="1"/>
  <c r="I197" i="5"/>
  <c r="T209" i="5"/>
  <c r="T68" i="5"/>
  <c r="T82" i="5"/>
  <c r="N21" i="5"/>
  <c r="W77" i="5"/>
  <c r="X77" i="5" s="1"/>
  <c r="R69" i="5"/>
  <c r="S69" i="5" s="1"/>
  <c r="N69" i="5"/>
  <c r="T127" i="5"/>
  <c r="R170" i="5"/>
  <c r="S170" i="5" s="1"/>
  <c r="W192" i="5"/>
  <c r="X192" i="5" s="1"/>
  <c r="I165" i="5"/>
  <c r="N173" i="5"/>
  <c r="T141" i="5"/>
  <c r="W166" i="5"/>
  <c r="X166" i="5" s="1"/>
  <c r="L188" i="5"/>
  <c r="M188" i="5" s="1"/>
  <c r="L211" i="5"/>
  <c r="M211" i="5" s="1"/>
  <c r="L203" i="5"/>
  <c r="M203" i="5" s="1"/>
  <c r="L209" i="5"/>
  <c r="M209" i="5" s="1"/>
  <c r="L215" i="5"/>
  <c r="M215" i="5" s="1"/>
  <c r="N127" i="5"/>
  <c r="W248" i="5"/>
  <c r="X248" i="5" s="1"/>
  <c r="N171" i="5"/>
  <c r="N188" i="5"/>
  <c r="W206" i="5"/>
  <c r="X206" i="5" s="1"/>
  <c r="R206" i="5"/>
  <c r="S206" i="5" s="1"/>
  <c r="I191" i="5"/>
  <c r="I64" i="5"/>
  <c r="I69" i="5"/>
  <c r="T192" i="5"/>
  <c r="R197" i="5"/>
  <c r="S197" i="5" s="1"/>
  <c r="W126" i="5"/>
  <c r="X126" i="5" s="1"/>
  <c r="I211" i="5"/>
  <c r="I79" i="5"/>
  <c r="T69" i="5"/>
  <c r="N64" i="5"/>
  <c r="L170" i="5"/>
  <c r="M170" i="5" s="1"/>
  <c r="L151" i="5"/>
  <c r="M151" i="5" s="1"/>
  <c r="N151" i="5"/>
  <c r="R127" i="5"/>
  <c r="S127" i="5" s="1"/>
  <c r="I127" i="5"/>
  <c r="L159" i="5"/>
  <c r="M159" i="5" s="1"/>
  <c r="I249" i="5"/>
  <c r="I77" i="5"/>
  <c r="N197" i="5"/>
  <c r="I192" i="5"/>
  <c r="T19" i="5"/>
  <c r="L64" i="5"/>
  <c r="M64" i="5" s="1"/>
  <c r="R70" i="5"/>
  <c r="S70" i="5" s="1"/>
  <c r="T64" i="5"/>
  <c r="W68" i="5"/>
  <c r="X68" i="5" s="1"/>
  <c r="R21" i="5"/>
  <c r="S21" i="5" s="1"/>
  <c r="N126" i="5"/>
  <c r="I166" i="5"/>
  <c r="N192" i="5"/>
  <c r="L166" i="5"/>
  <c r="M166" i="5" s="1"/>
  <c r="R234" i="5"/>
  <c r="S234" i="5" s="1"/>
  <c r="W211" i="5"/>
  <c r="X211" i="5" s="1"/>
  <c r="R203" i="5"/>
  <c r="S203" i="5" s="1"/>
  <c r="N209" i="5"/>
  <c r="R215" i="5"/>
  <c r="S215" i="5" s="1"/>
  <c r="I193" i="5"/>
  <c r="N159" i="5"/>
  <c r="N248" i="5"/>
  <c r="T171" i="5"/>
  <c r="W245" i="5"/>
  <c r="X245" i="5" s="1"/>
  <c r="R175" i="5"/>
  <c r="S175" i="5" s="1"/>
  <c r="W191" i="5"/>
  <c r="X191" i="5" s="1"/>
  <c r="T65" i="5"/>
  <c r="T126" i="5"/>
  <c r="I170" i="5"/>
  <c r="L192" i="5"/>
  <c r="M192" i="5" s="1"/>
  <c r="T248" i="5"/>
  <c r="L29" i="5"/>
  <c r="M29" i="5" s="1"/>
  <c r="T29" i="5"/>
  <c r="I65" i="5"/>
  <c r="T77" i="5"/>
  <c r="T135" i="5"/>
  <c r="I196" i="5"/>
  <c r="H144" i="5"/>
  <c r="R144" i="5" s="1"/>
  <c r="S144" i="5" s="1"/>
  <c r="T196" i="5"/>
  <c r="I29" i="5"/>
  <c r="I151" i="5"/>
  <c r="L212" i="5"/>
  <c r="M212" i="5" s="1"/>
  <c r="R212" i="5"/>
  <c r="S212" i="5" s="1"/>
  <c r="L233" i="5"/>
  <c r="M233" i="5" s="1"/>
  <c r="R233" i="5"/>
  <c r="S233" i="5" s="1"/>
  <c r="T233" i="5"/>
  <c r="N234" i="5"/>
  <c r="L234" i="5"/>
  <c r="M234" i="5" s="1"/>
  <c r="W234" i="5"/>
  <c r="X234" i="5" s="1"/>
  <c r="N250" i="5"/>
  <c r="L250" i="5"/>
  <c r="M250" i="5" s="1"/>
  <c r="W250" i="5"/>
  <c r="X250" i="5" s="1"/>
  <c r="W70" i="5"/>
  <c r="X70" i="5" s="1"/>
  <c r="T70" i="5"/>
  <c r="W115" i="5"/>
  <c r="X115" i="5" s="1"/>
  <c r="L115" i="5"/>
  <c r="M115" i="5" s="1"/>
  <c r="T115" i="5"/>
  <c r="L200" i="5"/>
  <c r="M200" i="5" s="1"/>
  <c r="R200" i="5"/>
  <c r="S200" i="5" s="1"/>
  <c r="T151" i="5"/>
  <c r="I200" i="5"/>
  <c r="R213" i="5"/>
  <c r="S213" i="5" s="1"/>
  <c r="N213" i="5"/>
  <c r="L213" i="5"/>
  <c r="M213" i="5" s="1"/>
  <c r="W213" i="5"/>
  <c r="X213" i="5" s="1"/>
  <c r="L237" i="5"/>
  <c r="M237" i="5" s="1"/>
  <c r="R237" i="5"/>
  <c r="S237" i="5" s="1"/>
  <c r="I226" i="5"/>
  <c r="R226" i="5"/>
  <c r="S226" i="5" s="1"/>
  <c r="L226" i="5"/>
  <c r="M226" i="5" s="1"/>
  <c r="W226" i="5"/>
  <c r="X226" i="5" s="1"/>
  <c r="N226" i="5"/>
  <c r="R162" i="5"/>
  <c r="S162" i="5" s="1"/>
  <c r="L162" i="5"/>
  <c r="M162" i="5" s="1"/>
  <c r="W162" i="5"/>
  <c r="X162" i="5" s="1"/>
  <c r="N162" i="5"/>
  <c r="I201" i="5"/>
  <c r="L116" i="5"/>
  <c r="M116" i="5" s="1"/>
  <c r="N116" i="5"/>
  <c r="R116" i="5"/>
  <c r="S116" i="5" s="1"/>
  <c r="I116" i="5"/>
  <c r="W116" i="5"/>
  <c r="X116" i="5" s="1"/>
  <c r="H118" i="5"/>
  <c r="L118" i="5" s="1"/>
  <c r="M118" i="5" s="1"/>
  <c r="T162" i="5"/>
  <c r="L134" i="5"/>
  <c r="M134" i="5" s="1"/>
  <c r="T134" i="5"/>
  <c r="N134" i="5"/>
  <c r="R134" i="5"/>
  <c r="S134" i="5" s="1"/>
  <c r="W134" i="5"/>
  <c r="X134" i="5" s="1"/>
  <c r="H136" i="5"/>
  <c r="W136" i="5" s="1"/>
  <c r="X136" i="5" s="1"/>
  <c r="R71" i="5"/>
  <c r="S71" i="5" s="1"/>
  <c r="L71" i="5"/>
  <c r="M71" i="5" s="1"/>
  <c r="I71" i="5"/>
  <c r="W71" i="5"/>
  <c r="X71" i="5" s="1"/>
  <c r="L189" i="5"/>
  <c r="M189" i="5" s="1"/>
  <c r="N189" i="5"/>
  <c r="W189" i="5"/>
  <c r="X189" i="5" s="1"/>
  <c r="R189" i="5"/>
  <c r="S189" i="5" s="1"/>
  <c r="H22" i="5"/>
  <c r="L22" i="5" s="1"/>
  <c r="M22" i="5" s="1"/>
  <c r="T181" i="5"/>
  <c r="I238" i="5"/>
  <c r="R238" i="5"/>
  <c r="S238" i="5" s="1"/>
  <c r="N238" i="5"/>
  <c r="L238" i="5"/>
  <c r="M238" i="5" s="1"/>
  <c r="W238" i="5"/>
  <c r="X238" i="5" s="1"/>
  <c r="I26" i="5"/>
  <c r="R26" i="5"/>
  <c r="S26" i="5" s="1"/>
  <c r="N26" i="5"/>
  <c r="H32" i="5"/>
  <c r="T26" i="5"/>
  <c r="W26" i="5"/>
  <c r="X26" i="5" s="1"/>
  <c r="L26" i="5"/>
  <c r="M26" i="5" s="1"/>
  <c r="I154" i="5"/>
  <c r="T226" i="5"/>
  <c r="H217" i="5"/>
  <c r="I221" i="5"/>
  <c r="R221" i="5"/>
  <c r="S221" i="5" s="1"/>
  <c r="N221" i="5"/>
  <c r="H252" i="5"/>
  <c r="W221" i="5"/>
  <c r="X221" i="5" s="1"/>
  <c r="L221" i="5"/>
  <c r="M221" i="5" s="1"/>
  <c r="R86" i="5"/>
  <c r="S86" i="5" s="1"/>
  <c r="T86" i="5"/>
  <c r="L86" i="5"/>
  <c r="M86" i="5" s="1"/>
  <c r="N86" i="5"/>
  <c r="W86" i="5"/>
  <c r="X86" i="5" s="1"/>
  <c r="I86" i="5"/>
  <c r="R27" i="5"/>
  <c r="S27" i="5" s="1"/>
  <c r="L27" i="5"/>
  <c r="M27" i="5" s="1"/>
  <c r="N27" i="5"/>
  <c r="W27" i="5"/>
  <c r="X27" i="5" s="1"/>
  <c r="I27" i="5"/>
  <c r="I10" i="5"/>
  <c r="R10" i="5"/>
  <c r="S10" i="5" s="1"/>
  <c r="L10" i="5"/>
  <c r="M10" i="5" s="1"/>
  <c r="N10" i="5"/>
  <c r="W10" i="5"/>
  <c r="X10" i="5" s="1"/>
  <c r="T10" i="5"/>
  <c r="I181" i="5"/>
  <c r="R181" i="5"/>
  <c r="S181" i="5" s="1"/>
  <c r="L181" i="5"/>
  <c r="M181" i="5" s="1"/>
  <c r="N181" i="5"/>
  <c r="W181" i="5"/>
  <c r="X181" i="5" s="1"/>
  <c r="I246" i="5"/>
  <c r="R246" i="5"/>
  <c r="S246" i="5" s="1"/>
  <c r="T246" i="5"/>
  <c r="W246" i="5"/>
  <c r="X246" i="5" s="1"/>
  <c r="N246" i="5"/>
  <c r="L246" i="5"/>
  <c r="M246" i="5" s="1"/>
  <c r="I18" i="5"/>
  <c r="R18" i="5"/>
  <c r="S18" i="5" s="1"/>
  <c r="W18" i="5"/>
  <c r="X18" i="5" s="1"/>
  <c r="L18" i="5"/>
  <c r="M18" i="5" s="1"/>
  <c r="N18" i="5"/>
  <c r="R63" i="5"/>
  <c r="S63" i="5" s="1"/>
  <c r="L63" i="5"/>
  <c r="M63" i="5" s="1"/>
  <c r="H73" i="5"/>
  <c r="R73" i="5" s="1"/>
  <c r="S73" i="5" s="1"/>
  <c r="I63" i="5"/>
  <c r="W63" i="5"/>
  <c r="X63" i="5" s="1"/>
  <c r="N63" i="5"/>
  <c r="H107" i="5"/>
  <c r="R107" i="5" s="1"/>
  <c r="S107" i="5" s="1"/>
  <c r="R205" i="5"/>
  <c r="S205" i="5" s="1"/>
  <c r="T205" i="5"/>
  <c r="L205" i="5"/>
  <c r="M205" i="5" s="1"/>
  <c r="N205" i="5"/>
  <c r="W205" i="5"/>
  <c r="X205" i="5" s="1"/>
  <c r="I30" i="5"/>
  <c r="R30" i="5"/>
  <c r="S30" i="5" s="1"/>
  <c r="T30" i="5"/>
  <c r="L30" i="5"/>
  <c r="M30" i="5" s="1"/>
  <c r="W30" i="5"/>
  <c r="X30" i="5" s="1"/>
  <c r="N30" i="5"/>
  <c r="R82" i="5"/>
  <c r="S82" i="5" s="1"/>
  <c r="N82" i="5"/>
  <c r="I82" i="5"/>
  <c r="W82" i="5"/>
  <c r="X82" i="5" s="1"/>
  <c r="L82" i="5"/>
  <c r="M82" i="5" s="1"/>
  <c r="I162" i="5"/>
  <c r="T189" i="5"/>
  <c r="I189" i="5"/>
  <c r="L193" i="5"/>
  <c r="M193" i="5" s="1"/>
  <c r="R193" i="5"/>
  <c r="S193" i="5" s="1"/>
  <c r="N193" i="5"/>
  <c r="W193" i="5"/>
  <c r="X193" i="5" s="1"/>
  <c r="R201" i="5"/>
  <c r="S201" i="5" s="1"/>
  <c r="W201" i="5"/>
  <c r="X201" i="5" s="1"/>
  <c r="N201" i="5"/>
  <c r="L201" i="5"/>
  <c r="M201" i="5" s="1"/>
  <c r="T193" i="5"/>
  <c r="I242" i="5"/>
  <c r="R242" i="5"/>
  <c r="S242" i="5" s="1"/>
  <c r="L242" i="5"/>
  <c r="M242" i="5" s="1"/>
  <c r="W242" i="5"/>
  <c r="X242" i="5" s="1"/>
  <c r="N242" i="5"/>
  <c r="I230" i="5"/>
  <c r="R230" i="5"/>
  <c r="S230" i="5" s="1"/>
  <c r="T230" i="5"/>
  <c r="W230" i="5"/>
  <c r="X230" i="5" s="1"/>
  <c r="N230" i="5"/>
  <c r="L230" i="5"/>
  <c r="M230" i="5" s="1"/>
  <c r="I134" i="5"/>
  <c r="R78" i="5"/>
  <c r="S78" i="5" s="1"/>
  <c r="L78" i="5"/>
  <c r="M78" i="5" s="1"/>
  <c r="N78" i="5"/>
  <c r="W78" i="5"/>
  <c r="X78" i="5" s="1"/>
  <c r="I78" i="5"/>
  <c r="H87" i="5"/>
  <c r="R87" i="5" s="1"/>
  <c r="S87" i="5" s="1"/>
  <c r="W154" i="5"/>
  <c r="X154" i="5" s="1"/>
  <c r="R154" i="5"/>
  <c r="S154" i="5" s="1"/>
  <c r="N154" i="5"/>
  <c r="L154" i="5"/>
  <c r="M154" i="5" s="1"/>
  <c r="N141" i="5"/>
  <c r="I141" i="5"/>
  <c r="R141" i="5"/>
  <c r="S141" i="5" s="1"/>
  <c r="L141" i="5"/>
  <c r="M141" i="5" s="1"/>
  <c r="W141" i="5"/>
  <c r="X141" i="5" s="1"/>
  <c r="I6" i="5"/>
  <c r="S6" i="5"/>
  <c r="L6" i="5"/>
  <c r="M6" i="5" s="1"/>
  <c r="W6" i="5"/>
  <c r="X6" i="5" s="1"/>
  <c r="H12" i="5"/>
  <c r="T6" i="5"/>
  <c r="T63" i="5"/>
  <c r="R98" i="5"/>
  <c r="S98" i="5" s="1"/>
  <c r="I98" i="5"/>
  <c r="L98" i="5"/>
  <c r="M98" i="5" s="1"/>
  <c r="W98" i="5"/>
  <c r="X98" i="5" s="1"/>
  <c r="N98" i="5"/>
  <c r="N101" i="5"/>
  <c r="W101" i="5"/>
  <c r="X101" i="5" s="1"/>
  <c r="L101" i="5"/>
  <c r="M101" i="5" s="1"/>
  <c r="R101" i="5"/>
  <c r="S101" i="5" s="1"/>
  <c r="R19" i="5"/>
  <c r="S19" i="5" s="1"/>
  <c r="L19" i="5"/>
  <c r="M19" i="5" s="1"/>
  <c r="N19" i="5"/>
  <c r="I19" i="5"/>
  <c r="W19" i="5"/>
  <c r="X19" i="5" s="1"/>
  <c r="T154" i="5"/>
  <c r="T238" i="5"/>
  <c r="K32" i="57" l="1"/>
  <c r="AE60" i="5"/>
  <c r="AA60" i="5"/>
  <c r="H6" i="55"/>
  <c r="I6" i="55" s="1"/>
  <c r="AJ59" i="5"/>
  <c r="G60" i="5"/>
  <c r="G9" i="57"/>
  <c r="X7" i="57"/>
  <c r="X8" i="57"/>
  <c r="G21" i="57"/>
  <c r="G32" i="57"/>
  <c r="K21" i="57"/>
  <c r="H21" i="57"/>
  <c r="H32" i="57"/>
  <c r="G4" i="57"/>
  <c r="G2" i="57"/>
  <c r="K2" i="57"/>
  <c r="G6" i="57"/>
  <c r="G8" i="57"/>
  <c r="G11" i="57"/>
  <c r="K5" i="57"/>
  <c r="G5" i="57"/>
  <c r="G3" i="57"/>
  <c r="G10" i="57"/>
  <c r="K7" i="57"/>
  <c r="G7" i="57"/>
  <c r="G6" i="55"/>
  <c r="F2" i="55"/>
  <c r="AC59" i="5"/>
  <c r="I55" i="5"/>
  <c r="T57" i="5"/>
  <c r="L57" i="5"/>
  <c r="M57" i="5" s="1"/>
  <c r="I57" i="5"/>
  <c r="W57" i="5"/>
  <c r="X57" i="5" s="1"/>
  <c r="N57" i="5"/>
  <c r="AI59" i="5"/>
  <c r="AH59" i="5"/>
  <c r="T55" i="5"/>
  <c r="L55" i="5"/>
  <c r="M55" i="5" s="1"/>
  <c r="I50" i="5"/>
  <c r="T50" i="5"/>
  <c r="W50" i="5"/>
  <c r="X50" i="5" s="1"/>
  <c r="W55" i="5"/>
  <c r="X55" i="5" s="1"/>
  <c r="N50" i="5"/>
  <c r="L50" i="5"/>
  <c r="M50" i="5" s="1"/>
  <c r="N55" i="5"/>
  <c r="O118" i="5"/>
  <c r="O73" i="5"/>
  <c r="O130" i="5"/>
  <c r="O107" i="5"/>
  <c r="O12" i="5"/>
  <c r="O32" i="5"/>
  <c r="L56" i="5"/>
  <c r="M56" i="5" s="1"/>
  <c r="O56" i="5"/>
  <c r="T58" i="5"/>
  <c r="O58" i="5"/>
  <c r="O87" i="5"/>
  <c r="O144" i="5"/>
  <c r="I49" i="5"/>
  <c r="O49" i="5"/>
  <c r="W252" i="5"/>
  <c r="X252" i="5" s="1"/>
  <c r="O252" i="5"/>
  <c r="O22" i="5"/>
  <c r="R217" i="5"/>
  <c r="S217" i="5" s="1"/>
  <c r="O217" i="5"/>
  <c r="L182" i="5"/>
  <c r="M182" i="5" s="1"/>
  <c r="O182" i="5"/>
  <c r="T51" i="5"/>
  <c r="O51" i="5"/>
  <c r="I54" i="5"/>
  <c r="O54" i="5"/>
  <c r="AD51" i="5"/>
  <c r="AE51" i="5" s="1"/>
  <c r="AF51" i="5" s="1"/>
  <c r="Q51" i="5"/>
  <c r="J4" i="57" s="1"/>
  <c r="AD55" i="5"/>
  <c r="Q55" i="5"/>
  <c r="J8" i="57" s="1"/>
  <c r="AE54" i="5"/>
  <c r="AF54" i="5" s="1"/>
  <c r="R54" i="5"/>
  <c r="S54" i="5" s="1"/>
  <c r="R49" i="5"/>
  <c r="S49" i="5" s="1"/>
  <c r="R52" i="5"/>
  <c r="S52" i="5" s="1"/>
  <c r="AE52" i="5"/>
  <c r="AF52" i="5" s="1"/>
  <c r="Q58" i="5"/>
  <c r="J11" i="57" s="1"/>
  <c r="K11" i="57" s="1"/>
  <c r="Q57" i="5"/>
  <c r="J10" i="57" s="1"/>
  <c r="N58" i="5"/>
  <c r="Q50" i="5"/>
  <c r="J3" i="57" s="1"/>
  <c r="AD50" i="5"/>
  <c r="AE50" i="5" s="1"/>
  <c r="AF50" i="5" s="1"/>
  <c r="AE56" i="5"/>
  <c r="AF56" i="5" s="1"/>
  <c r="R56" i="5"/>
  <c r="S56" i="5" s="1"/>
  <c r="J6" i="57"/>
  <c r="L12" i="5"/>
  <c r="M12" i="5" s="1"/>
  <c r="W58" i="5"/>
  <c r="X58" i="5" s="1"/>
  <c r="I58" i="5"/>
  <c r="I56" i="5"/>
  <c r="L58" i="5"/>
  <c r="M58" i="5" s="1"/>
  <c r="T56" i="5"/>
  <c r="N54" i="5"/>
  <c r="W56" i="5"/>
  <c r="X56" i="5" s="1"/>
  <c r="W54" i="5"/>
  <c r="X54" i="5" s="1"/>
  <c r="N56" i="5"/>
  <c r="I51" i="5"/>
  <c r="T54" i="5"/>
  <c r="L54" i="5"/>
  <c r="M54" i="5" s="1"/>
  <c r="W51" i="5"/>
  <c r="X51" i="5" s="1"/>
  <c r="L51" i="5"/>
  <c r="M51" i="5" s="1"/>
  <c r="N51" i="5"/>
  <c r="T52" i="5"/>
  <c r="I52" i="5"/>
  <c r="L52" i="5"/>
  <c r="M52" i="5" s="1"/>
  <c r="N52" i="5"/>
  <c r="W52" i="5"/>
  <c r="X52" i="5" s="1"/>
  <c r="AA59" i="5"/>
  <c r="AB59" i="5" s="1"/>
  <c r="H59" i="5"/>
  <c r="W49" i="5"/>
  <c r="X49" i="5" s="1"/>
  <c r="N49" i="5"/>
  <c r="L49" i="5"/>
  <c r="M49" i="5" s="1"/>
  <c r="T49" i="5"/>
  <c r="N136" i="5"/>
  <c r="I12" i="5"/>
  <c r="R130" i="5"/>
  <c r="S130" i="5" s="1"/>
  <c r="T118" i="5"/>
  <c r="T73" i="5"/>
  <c r="T22" i="5"/>
  <c r="W182" i="5"/>
  <c r="X182" i="5" s="1"/>
  <c r="W144" i="5"/>
  <c r="X144" i="5" s="1"/>
  <c r="L144" i="5"/>
  <c r="M144" i="5" s="1"/>
  <c r="I144" i="5"/>
  <c r="T182" i="5"/>
  <c r="W73" i="5"/>
  <c r="X73" i="5" s="1"/>
  <c r="T130" i="5"/>
  <c r="N130" i="5"/>
  <c r="R182" i="5"/>
  <c r="S182" i="5" s="1"/>
  <c r="L87" i="5"/>
  <c r="M87" i="5" s="1"/>
  <c r="I182" i="5"/>
  <c r="I130" i="5"/>
  <c r="T136" i="5"/>
  <c r="N118" i="5"/>
  <c r="T107" i="5"/>
  <c r="W130" i="5"/>
  <c r="X130" i="5" s="1"/>
  <c r="T12" i="5"/>
  <c r="N12" i="5"/>
  <c r="N144" i="5"/>
  <c r="T87" i="5"/>
  <c r="N182" i="5"/>
  <c r="W107" i="5"/>
  <c r="X107" i="5" s="1"/>
  <c r="T144" i="5"/>
  <c r="N73" i="5"/>
  <c r="W12" i="5"/>
  <c r="X12" i="5" s="1"/>
  <c r="N87" i="5"/>
  <c r="N22" i="5"/>
  <c r="N107" i="5"/>
  <c r="R12" i="5"/>
  <c r="S12" i="5" s="1"/>
  <c r="N217" i="5"/>
  <c r="L107" i="5"/>
  <c r="M107" i="5" s="1"/>
  <c r="I107" i="5"/>
  <c r="I252" i="5"/>
  <c r="R252" i="5"/>
  <c r="S252" i="5" s="1"/>
  <c r="L252" i="5"/>
  <c r="M252" i="5" s="1"/>
  <c r="T252" i="5"/>
  <c r="I22" i="5"/>
  <c r="W22" i="5"/>
  <c r="X22" i="5" s="1"/>
  <c r="I118" i="5"/>
  <c r="R118" i="5"/>
  <c r="S118" i="5" s="1"/>
  <c r="W118" i="5"/>
  <c r="X118" i="5" s="1"/>
  <c r="R22" i="5"/>
  <c r="S22" i="5" s="1"/>
  <c r="N252" i="5"/>
  <c r="T32" i="5"/>
  <c r="I136" i="5"/>
  <c r="R136" i="5"/>
  <c r="S136" i="5" s="1"/>
  <c r="L136" i="5"/>
  <c r="M136" i="5" s="1"/>
  <c r="I87" i="5"/>
  <c r="W87" i="5"/>
  <c r="X87" i="5" s="1"/>
  <c r="N32" i="5"/>
  <c r="I217" i="5"/>
  <c r="T217" i="5"/>
  <c r="L217" i="5"/>
  <c r="M217" i="5" s="1"/>
  <c r="W217" i="5"/>
  <c r="X217" i="5" s="1"/>
  <c r="L32" i="5"/>
  <c r="M32" i="5" s="1"/>
  <c r="I32" i="5"/>
  <c r="R32" i="5"/>
  <c r="S32" i="5" s="1"/>
  <c r="W32" i="5"/>
  <c r="X32" i="5" s="1"/>
  <c r="L73" i="5"/>
  <c r="M73" i="5" s="1"/>
  <c r="I73" i="5"/>
  <c r="F3" i="55" l="1"/>
  <c r="AE55" i="5"/>
  <c r="AF55" i="5" s="1"/>
  <c r="R50" i="5"/>
  <c r="S50" i="5" s="1"/>
  <c r="K3" i="57"/>
  <c r="R57" i="5"/>
  <c r="S57" i="5" s="1"/>
  <c r="K10" i="57"/>
  <c r="K6" i="57"/>
  <c r="R58" i="5"/>
  <c r="S58" i="5" s="1"/>
  <c r="R51" i="5"/>
  <c r="S51" i="5" s="1"/>
  <c r="K4" i="57"/>
  <c r="R55" i="5"/>
  <c r="S55" i="5" s="1"/>
  <c r="K8" i="57"/>
  <c r="AE57" i="5"/>
  <c r="AF57" i="5" s="1"/>
  <c r="AF58" i="5"/>
  <c r="AD59" i="5"/>
  <c r="AE59" i="5" s="1"/>
  <c r="AF59" i="5" s="1"/>
  <c r="O59" i="5"/>
  <c r="Q59" i="5"/>
  <c r="AE49" i="5"/>
  <c r="AF49" i="5" s="1"/>
  <c r="T59" i="5"/>
  <c r="N59" i="5"/>
  <c r="W59" i="5"/>
  <c r="X59" i="5" s="1"/>
  <c r="I59" i="5"/>
  <c r="L59" i="5"/>
  <c r="M59" i="5" s="1"/>
  <c r="R59" i="5" l="1"/>
  <c r="S59" i="5" s="1"/>
</calcChain>
</file>

<file path=xl/sharedStrings.xml><?xml version="1.0" encoding="utf-8"?>
<sst xmlns="http://schemas.openxmlformats.org/spreadsheetml/2006/main" count="8357" uniqueCount="545">
  <si>
    <t>Entidad</t>
  </si>
  <si>
    <t>Apropiación Vigente</t>
  </si>
  <si>
    <t>COMPROMISOS</t>
  </si>
  <si>
    <t>OBLIGACIONES</t>
  </si>
  <si>
    <t>%</t>
  </si>
  <si>
    <t>Avance</t>
  </si>
  <si>
    <t>MADS</t>
  </si>
  <si>
    <t>ANLA</t>
  </si>
  <si>
    <t>IDEAM</t>
  </si>
  <si>
    <t>FONAM</t>
  </si>
  <si>
    <t>32-01-01</t>
  </si>
  <si>
    <t>A</t>
  </si>
  <si>
    <t>32-01-02</t>
  </si>
  <si>
    <t>32-01-04</t>
  </si>
  <si>
    <t>32-02-00</t>
  </si>
  <si>
    <t>32-04-01</t>
  </si>
  <si>
    <t>C</t>
  </si>
  <si>
    <t>FCA</t>
  </si>
  <si>
    <t>DAASU</t>
  </si>
  <si>
    <t>DAMCRA</t>
  </si>
  <si>
    <t>SINCHI</t>
  </si>
  <si>
    <t>INVEMAR</t>
  </si>
  <si>
    <t>IIAP</t>
  </si>
  <si>
    <t>IAVH</t>
  </si>
  <si>
    <t>CAM</t>
  </si>
  <si>
    <t>CARDER</t>
  </si>
  <si>
    <t>CARDIQUE</t>
  </si>
  <si>
    <t>CAS</t>
  </si>
  <si>
    <t>CARSUCRE</t>
  </si>
  <si>
    <t>CDA</t>
  </si>
  <si>
    <t>CODECHOCO</t>
  </si>
  <si>
    <t xml:space="preserve">CDMB </t>
  </si>
  <si>
    <t>CORALINA</t>
  </si>
  <si>
    <t>CORMACARENA</t>
  </si>
  <si>
    <t>CORANTIOQUIA</t>
  </si>
  <si>
    <t>CORPAMAG</t>
  </si>
  <si>
    <t>CORPOAMAZONIA</t>
  </si>
  <si>
    <t>CORPOBOYACA</t>
  </si>
  <si>
    <t>CORPOCESAR</t>
  </si>
  <si>
    <t>CORPOCALDAS</t>
  </si>
  <si>
    <t>CORPONOR</t>
  </si>
  <si>
    <t>CORPOCHIVOR</t>
  </si>
  <si>
    <t>CORPOGUAJIRA</t>
  </si>
  <si>
    <t>CORPOGUAVIO</t>
  </si>
  <si>
    <t>CORPOMOJANA</t>
  </si>
  <si>
    <t>CORPORINOQUIA</t>
  </si>
  <si>
    <t>CORPOURABA</t>
  </si>
  <si>
    <t>CRA</t>
  </si>
  <si>
    <t>CORTOLIMA</t>
  </si>
  <si>
    <t>CRC</t>
  </si>
  <si>
    <t>CRQ</t>
  </si>
  <si>
    <t>CSB</t>
  </si>
  <si>
    <t>CVS</t>
  </si>
  <si>
    <t>32-31-00</t>
  </si>
  <si>
    <t>32-34-00</t>
  </si>
  <si>
    <t>32-30-00</t>
  </si>
  <si>
    <t>32-24-00</t>
  </si>
  <si>
    <t>32-12-00</t>
  </si>
  <si>
    <t>32-26-00</t>
  </si>
  <si>
    <t>32-27-00</t>
  </si>
  <si>
    <t>32-22-00</t>
  </si>
  <si>
    <t>32-23-00</t>
  </si>
  <si>
    <t>32-35-00</t>
  </si>
  <si>
    <t>32-19-00</t>
  </si>
  <si>
    <t>32-11-00</t>
  </si>
  <si>
    <t>32-17-00</t>
  </si>
  <si>
    <t>32-36-00</t>
  </si>
  <si>
    <t>32-18-00</t>
  </si>
  <si>
    <t>32-37-00</t>
  </si>
  <si>
    <t>32-28-00</t>
  </si>
  <si>
    <t>32-16-00</t>
  </si>
  <si>
    <t>32-29-00</t>
  </si>
  <si>
    <t>32-10-00</t>
  </si>
  <si>
    <t>32-33-00</t>
  </si>
  <si>
    <t>32-14-00</t>
  </si>
  <si>
    <t>32-21-00</t>
  </si>
  <si>
    <t>32-09-00</t>
  </si>
  <si>
    <t>32-39-00</t>
  </si>
  <si>
    <t>32-08-00</t>
  </si>
  <si>
    <t>32-15-00</t>
  </si>
  <si>
    <t>32-38-00</t>
  </si>
  <si>
    <t>32-13-00</t>
  </si>
  <si>
    <t>32-32-00</t>
  </si>
  <si>
    <t>Año Fiscal:</t>
  </si>
  <si>
    <t/>
  </si>
  <si>
    <t>Vigencia:</t>
  </si>
  <si>
    <t>Actual</t>
  </si>
  <si>
    <t>Periodo:</t>
  </si>
  <si>
    <t>UEJ</t>
  </si>
  <si>
    <t>NOMBRE UEJ</t>
  </si>
  <si>
    <t>RUBRO</t>
  </si>
  <si>
    <t>TIPO</t>
  </si>
  <si>
    <t>CTA</t>
  </si>
  <si>
    <t>SUB
CTA</t>
  </si>
  <si>
    <t>OBJ</t>
  </si>
  <si>
    <t>ORD</t>
  </si>
  <si>
    <t>SOR
ORD</t>
  </si>
  <si>
    <t>ITEM</t>
  </si>
  <si>
    <t>SUB
ITEM</t>
  </si>
  <si>
    <t>FUENTE</t>
  </si>
  <si>
    <t>REC</t>
  </si>
  <si>
    <t>SIT</t>
  </si>
  <si>
    <t>DESCRIPCION</t>
  </si>
  <si>
    <t>APR. INICIAL</t>
  </si>
  <si>
    <t>APR. ADICIONADA</t>
  </si>
  <si>
    <t>APR. REDUCIDA</t>
  </si>
  <si>
    <t>APR. VIGENTE</t>
  </si>
  <si>
    <t>APR BLOQUEADA</t>
  </si>
  <si>
    <t>CDP</t>
  </si>
  <si>
    <t>APR. DISPONIBLE</t>
  </si>
  <si>
    <t>COMPROMISO</t>
  </si>
  <si>
    <t>OBLIGACION</t>
  </si>
  <si>
    <t>ORDEN PAGO</t>
  </si>
  <si>
    <t>PAGOS</t>
  </si>
  <si>
    <t>MINISTERIO DE AMBIENTE Y DESARROLLO SOSTENIBLE - GESTION GENERAL</t>
  </si>
  <si>
    <t>1</t>
  </si>
  <si>
    <t>Nación</t>
  </si>
  <si>
    <t>10</t>
  </si>
  <si>
    <t>CSF</t>
  </si>
  <si>
    <t>4</t>
  </si>
  <si>
    <t>5</t>
  </si>
  <si>
    <t>9</t>
  </si>
  <si>
    <t>2</t>
  </si>
  <si>
    <t>3</t>
  </si>
  <si>
    <t>FORTALECIMIENTO A LA CONSULTA PREVIA. CONVENIO 169 OIT, LEY 21 DE 1991, LEY 70 DE 1993</t>
  </si>
  <si>
    <t>11</t>
  </si>
  <si>
    <t>SSF</t>
  </si>
  <si>
    <t>16</t>
  </si>
  <si>
    <t>8</t>
  </si>
  <si>
    <t>6</t>
  </si>
  <si>
    <t>C-3201-0900-2</t>
  </si>
  <si>
    <t>3201</t>
  </si>
  <si>
    <t>0900</t>
  </si>
  <si>
    <t>C-3201-0900-3</t>
  </si>
  <si>
    <t>FORTALECIMIENTO DE LA OFERTA INSTITUCIONAL PARA LA SOSTENIBILIDAD AMBIENTAL DEL TERRITORIO EN EL MARCO DE LOS NEGOCIOS VERDES Y SOSTENIBLES. NIVEL  NACIONAL</t>
  </si>
  <si>
    <t>15</t>
  </si>
  <si>
    <t>3202</t>
  </si>
  <si>
    <t>C-3203-0900-2</t>
  </si>
  <si>
    <t>3203</t>
  </si>
  <si>
    <t>FORTALECIMIENTO INSTITUCIONAL PARA LA IMPLEMENTACIÓN DE LA POLÍTICA NACIONAL PARA LA GESTIÓN INTEGRAL DEL RECURSO HÍDRICO  NACIONAL</t>
  </si>
  <si>
    <t>3204</t>
  </si>
  <si>
    <t>C-3204-0900-6</t>
  </si>
  <si>
    <t>INVESTIGACIÓN GENERACIÓN  Y DIFUSIÓN DE CONOCIMIENTO CIENTÍFICO SOBRE LA REALIDAD AMBIENTAL, SOCIO PRODUCTIVA Y CULTURAL DEL CHOCÓ BIOGEOGRÁFICO  ANTIOQUIA, CAUCA, CHOCÓ, NARIÑO, VALLE DEL CAUCA, RISARALDA, CÓRDOBA</t>
  </si>
  <si>
    <t>C-3204-0900-7</t>
  </si>
  <si>
    <t>7</t>
  </si>
  <si>
    <t>INVESTIGACIÓN CONSERVACIÓN Y APROVECHAMIENTO SOSTENIBLE DE LA DIVERSIDAD BIOLÓGICA, SOCIOECONOMICA Y CULTURAL DE LA AMAZONIA COLOMBIANA  AMAZONAS, CAQUETÁ, PUTUMAYO, GUAVIARE, VAUPÉS, GUAINÍA</t>
  </si>
  <si>
    <t>C-3204-0900-8</t>
  </si>
  <si>
    <t>INVESTIGACIÓN CIENTÍFICA HACIA LA GENERACIÓN DE INFORMACIÓN Y CONOCIMIENTO DE  LAS  ZONAS MARINAS Y COSTERAS DE INTERES DE LA NACIÓN  NACIONAL</t>
  </si>
  <si>
    <t>3205</t>
  </si>
  <si>
    <t>C-3206-0900-3</t>
  </si>
  <si>
    <t>3206</t>
  </si>
  <si>
    <t>FORTALECIMIENTO DE LA GESTIÓN DE CAMBIO CLIMÁTICO EN LA PLANEACIÓN SECTORIAL Y TERRITORIAL  NACIONAL</t>
  </si>
  <si>
    <t>C-3207-0900-2</t>
  </si>
  <si>
    <t>3207</t>
  </si>
  <si>
    <t>FORTALECIMIENTO FORTALECER LA GESTIÓN AMBIENTAL DEL ESTADO COLOMBIANO SOBRE LAS ZONAS MARINAS Y COSTERAS Y RECURSOS ACUÁTICOS  NACIONAL</t>
  </si>
  <si>
    <t>3208</t>
  </si>
  <si>
    <t>C-3299-0900-1</t>
  </si>
  <si>
    <t>3299</t>
  </si>
  <si>
    <t>C-3299-0900-2</t>
  </si>
  <si>
    <t>C-3299-0900-9</t>
  </si>
  <si>
    <t>IMPLEMENTACIÓN DE LA ESTRATEGIA DE DIVULGACIÓN Y COMUNICACIÓN DE LA INFORMACIÓN AMBIENTAL A NIVEL  NACIONAL</t>
  </si>
  <si>
    <t>C-3299-0900-10</t>
  </si>
  <si>
    <t>FORTALECIMIENTO DE LA INFRAESTRUCTURA FÍSICA, TECNOLÓGICA Y DE LA GESTIÓN ADMINISTRATIVA DEL INVEMAR  NACIONAL</t>
  </si>
  <si>
    <t>C-3299-0900-11</t>
  </si>
  <si>
    <t>FORTALECIMIENTO DE LA CAPACIDAD DEL ENTORNO FISCO Y LOGÍSTICO REQUERIDO PARA EL LEVANTAMIENTO Y GESTIÓN DE LA INFORMACIÓN AMBIENTAL DE LA AMAZONIA COLOMBIANA.  AMAZONAS, CAQUETÁ, VAUPÉS, GUAVIARE, GUAINÍA</t>
  </si>
  <si>
    <t>12</t>
  </si>
  <si>
    <t>C-3299-0900-13</t>
  </si>
  <si>
    <t>13</t>
  </si>
  <si>
    <t>FORTALECIMIENTO AMPLIACIÓN DE LA CAPACIDAD INSTALADA DE INFRAESTRUCTURA FÍSICA, TECNOLÓGICA Y ADMINISTRATIVA DEL INSTITUTO DE INVESTIGACIONES AMBIENTALES DEL PACÍFICO  ANTIOQUIA, CAUCA, CHOCÓ, NARIÑO, RISARALDA, VALLE DEL CAUCA, CÓRDOBA</t>
  </si>
  <si>
    <t>PARQUES NACIONALES NATURALES DE COLOMBIA</t>
  </si>
  <si>
    <t>C-3202-0900-4</t>
  </si>
  <si>
    <t>ADMINISTRACIÓN DE LAS ÁREAS DEL SISTEMA DE PARQUES NACIONALES  NATURALES Y COORDINACIÓN DEL SISTEMA NACIONAL DE ÁREAS PROTEGIDAS.  NACIONAL</t>
  </si>
  <si>
    <t>AUTORIDAD NACIONAL DE LICENCIAS AMBIENTALES ANLA</t>
  </si>
  <si>
    <t>INSTITUTO DE HIDROLOGIA, METEOROLOGIA Y ESTUDIOS AMBIENTALES- IDEAM</t>
  </si>
  <si>
    <t>Propios</t>
  </si>
  <si>
    <t>C-3204-0900-3</t>
  </si>
  <si>
    <t>FORTALECIMIENTO DE LA GESTIÓN Y DIRECCIÓN DEL INSTITUTO DE HIDROLOGÍA, METEOROLOGÍA Y ESTUDIOS AMBIENTALES  NACIONAL</t>
  </si>
  <si>
    <t>FONAM - GESTION GENERAL</t>
  </si>
  <si>
    <t>C-3202-0900-6</t>
  </si>
  <si>
    <t>CORPORACION AUTONOMA REGIONAL DE LOS VALLES DEL SINU Y SAN JORGE (CVS)</t>
  </si>
  <si>
    <t>CORPORACION AUTONOMA REGIONAL DEL QUINDIO (CRQ)</t>
  </si>
  <si>
    <t>CORPORACION PARA EL DESARROLLO SOSTENIBLE DEL URABA - CORPOURABA</t>
  </si>
  <si>
    <t>CORPORACION AUTONOMA REGIONAL DE CALDAS (CORPOCALDAS)</t>
  </si>
  <si>
    <t>CORPORACION AUTONOMA REGIONAL PARA EL DESARROLLO SOSTENIBLE DEL CHOCO - CODECHOCO</t>
  </si>
  <si>
    <t xml:space="preserve">CORPORACION AUTONOMA REGIONAL PARA LA DEFENSA DE LA MESETA DE BUCARAMANGA CDMB </t>
  </si>
  <si>
    <t>CORPORACION AUTONOMA REGIONAL DEL TOLIMA (CORTOLIMA)</t>
  </si>
  <si>
    <t>CORPORACION AUTONOMA REGIONAL DE RISARALDA (CARDER)</t>
  </si>
  <si>
    <t>CORPORACION AUTONOMA REGIONAL DE NARINO (CORPONARINO)</t>
  </si>
  <si>
    <t>CORPORACION AUTONOMA REGIONAL DE LA FRONTERA NORORIENTAL (CORPONOR)</t>
  </si>
  <si>
    <t>CORPORACION AUTONOMA REGIONAL DE LA GUAJIRA (CORPOGUAJIRA)</t>
  </si>
  <si>
    <t>CORPORACION AUTONOMA REGIONAL DEL CESAR (CORPOCESAR)</t>
  </si>
  <si>
    <t>CORPORACION AUTONOMA REGIONAL DEL CAUCA (CRC)</t>
  </si>
  <si>
    <t>CORPORACION AUTONOMA REGIONAL DEL MAGDALENA (CORPAMAG)</t>
  </si>
  <si>
    <t>CORPORACION PARA EL DESARROLLO SOSTENIBLE DEL SUR DE LA AMAZONIA - CORPOAMAZONIA</t>
  </si>
  <si>
    <t>CORPORACION  PARA EL DESARROLLO SOSTENIBLE DEL NORTE Y ORIENTE DE LA AMAZONIA - CDA</t>
  </si>
  <si>
    <t>CORPORACION PARA EL DESARROLLO SOSTENIBLE DEL ARCHIPIELAGO DE SAN ANDRES, PROVIDENCIA Y SANTA CATALINA - CORALINA</t>
  </si>
  <si>
    <t>CORPORACION PARA EL DESARROLLO SOSTENIBLE DEL AREA DE MANEJO ESPECIAL LA MACARENA - CORMACARENA</t>
  </si>
  <si>
    <t>CORPORACION  PARA EL DESARROLLO SOSTENIBLE DE LA MOJANA Y EL SAN JORGE - CORPOMOJANA</t>
  </si>
  <si>
    <t>C-3202-0900-7</t>
  </si>
  <si>
    <t>CORPORACION AUTONOMA REGIONAL DE LA ORINOQUIA (CORPORINOQUIA)</t>
  </si>
  <si>
    <t>CORPORACION AUTONOMA REGIONAL DE SUCRE (CARSUCRE)</t>
  </si>
  <si>
    <t>CORPORACION AUTONOMA REGIONAL DEL ALTO MAGDALENA (CAM)</t>
  </si>
  <si>
    <t>CORPORACION AUTONOMA REGIONAL DEL CENTRO DE ANTIOQUIA (CORANTIOQUIA)</t>
  </si>
  <si>
    <t>CORPORACION AUTONOMA REGIONAL DEL ATLANTICO - CRA</t>
  </si>
  <si>
    <t>CORPORACION AUTONOMA REGIONAL DE SANTANDER (CAS)</t>
  </si>
  <si>
    <t>CORPORACION AUTONOMA REGIONAL DE BOYACA (CORPOBOYACA)</t>
  </si>
  <si>
    <t>CORPORACION AUTONOMA REGIONAL DE CHIVOR (CORPOCHIVOR)</t>
  </si>
  <si>
    <t>CORPORACION AUTONOMA REGIONAL DEL GUAVIO (CORPOGUAVIO)</t>
  </si>
  <si>
    <t>CORPORACION AUTONOMA REGIONAL DEL CANAL DEL DIQUE (CARDIQUE)</t>
  </si>
  <si>
    <t>CORPORACION AUTONOMA REGIONAL DEL SUR DE BOLIVAR (CSB)</t>
  </si>
  <si>
    <t>EJECUTOR</t>
  </si>
  <si>
    <t>MES</t>
  </si>
  <si>
    <t>Agosto</t>
  </si>
  <si>
    <t>Septiembre</t>
  </si>
  <si>
    <t>Octubre</t>
  </si>
  <si>
    <t>Noviembre</t>
  </si>
  <si>
    <t>Diciembre</t>
  </si>
  <si>
    <t>META COMPROMISO</t>
  </si>
  <si>
    <t>META OBLIGACIÓN</t>
  </si>
  <si>
    <t>CORPONARINO</t>
  </si>
  <si>
    <t>FUENTES</t>
  </si>
  <si>
    <t>PGN</t>
  </si>
  <si>
    <t>RECURSO</t>
  </si>
  <si>
    <t>DONACIONES</t>
  </si>
  <si>
    <t>PROPIOS</t>
  </si>
  <si>
    <t>Funcionamiento</t>
  </si>
  <si>
    <t>Inversión</t>
  </si>
  <si>
    <t>SG</t>
  </si>
  <si>
    <t>OTIC</t>
  </si>
  <si>
    <t>OCOM</t>
  </si>
  <si>
    <t>OAI</t>
  </si>
  <si>
    <t>OAP</t>
  </si>
  <si>
    <t>ONVS</t>
  </si>
  <si>
    <t>DIGRH</t>
  </si>
  <si>
    <t>DGOAT</t>
  </si>
  <si>
    <t>DCC</t>
  </si>
  <si>
    <t>SEP</t>
  </si>
  <si>
    <t>PNN</t>
  </si>
  <si>
    <t>No Aplica</t>
  </si>
  <si>
    <t>GRUPO</t>
  </si>
  <si>
    <t>ENTIDAD</t>
  </si>
  <si>
    <t>CORPORACIONES</t>
  </si>
  <si>
    <t>NOMBRE_ENTIDAD</t>
  </si>
  <si>
    <t>Ejecutor</t>
  </si>
  <si>
    <t>Funcionamiento + Inversión</t>
  </si>
  <si>
    <t>TOTAL</t>
  </si>
  <si>
    <t>Comprometido</t>
  </si>
  <si>
    <t>Obligado</t>
  </si>
  <si>
    <t>Total ANLA</t>
  </si>
  <si>
    <t>Total CORPORACIONES</t>
  </si>
  <si>
    <t>Total FONAM</t>
  </si>
  <si>
    <t>Total IDEAM</t>
  </si>
  <si>
    <t>Total MADS</t>
  </si>
  <si>
    <t>Total PNN</t>
  </si>
  <si>
    <t>% Meta Oblig.</t>
  </si>
  <si>
    <t>Pagado</t>
  </si>
  <si>
    <t>CARS</t>
  </si>
  <si>
    <t>Meta</t>
  </si>
  <si>
    <t>MADS_1</t>
  </si>
  <si>
    <t>FCA_1</t>
  </si>
  <si>
    <t>INSTITUTOS</t>
  </si>
  <si>
    <t>CARs - PGN</t>
  </si>
  <si>
    <t>CARs - FCA</t>
  </si>
  <si>
    <t>CARs - FONAM</t>
  </si>
  <si>
    <t>DEPENDENCIAS</t>
  </si>
  <si>
    <t>DIR.BOSQUES</t>
  </si>
  <si>
    <t>DIR.C.CLIMATICO</t>
  </si>
  <si>
    <t>DIR.ORDENAMIENTO</t>
  </si>
  <si>
    <t>DIR.REC.HÍDRICO</t>
  </si>
  <si>
    <t>OF.A.INTERNALES</t>
  </si>
  <si>
    <t>OF.COMUNICAC.</t>
  </si>
  <si>
    <t>OF.NEG.VERDES</t>
  </si>
  <si>
    <t>OF.PLANEACION</t>
  </si>
  <si>
    <t>OF.TICS</t>
  </si>
  <si>
    <t>SECRETAR.GRAL</t>
  </si>
  <si>
    <t>SUBDIR. EDUCACION</t>
  </si>
  <si>
    <t>OAP_1</t>
  </si>
  <si>
    <t>DBBSE_1</t>
  </si>
  <si>
    <t>U.PARQUES</t>
  </si>
  <si>
    <t>ANLA_1</t>
  </si>
  <si>
    <t>Inversión + Funcionamiento</t>
  </si>
  <si>
    <t>CORPONARIÑO</t>
  </si>
  <si>
    <t>*Meta de desempeño definida por la Presidencia de la República
Fuente: Sistema  Integrado de Información Financiera SIIF. Ministerio de Hacienda</t>
  </si>
  <si>
    <t>Fecha de Corte:</t>
  </si>
  <si>
    <t>FECHA DE CORTE:</t>
  </si>
  <si>
    <t>C-3202-0900-8</t>
  </si>
  <si>
    <t>C-3205-0900-2</t>
  </si>
  <si>
    <t>Mayo</t>
  </si>
  <si>
    <t>Junio</t>
  </si>
  <si>
    <t>C-3202-0900-9</t>
  </si>
  <si>
    <t>META PAGADO</t>
  </si>
  <si>
    <t>Febrero</t>
  </si>
  <si>
    <t>C-3201-0900-4</t>
  </si>
  <si>
    <t>A-03-03-01-010</t>
  </si>
  <si>
    <t>A-08-04-01</t>
  </si>
  <si>
    <t>C-3201-0900-5</t>
  </si>
  <si>
    <t>C-3201-0900-6</t>
  </si>
  <si>
    <t>A-03-03-01-021</t>
  </si>
  <si>
    <t>A-08-01</t>
  </si>
  <si>
    <t>C-3204-0900-11</t>
  </si>
  <si>
    <t>A-03-03-04-016</t>
  </si>
  <si>
    <t>C-3299-0900-17</t>
  </si>
  <si>
    <t>C-3299-0900-16</t>
  </si>
  <si>
    <t>C-3299-0900-15</t>
  </si>
  <si>
    <t>C-3299-0900-14</t>
  </si>
  <si>
    <t>C-3204-0900-10</t>
  </si>
  <si>
    <t>A-01-01-01</t>
  </si>
  <si>
    <t>01</t>
  </si>
  <si>
    <t>SALARIO</t>
  </si>
  <si>
    <t>A-01-01-02</t>
  </si>
  <si>
    <t>02</t>
  </si>
  <si>
    <t>CONTRIBUCIONES INHERENTES A LA NÓMINA</t>
  </si>
  <si>
    <t>A-01-01-03</t>
  </si>
  <si>
    <t>03</t>
  </si>
  <si>
    <t>REMUNERACIONES NO CONSTITUTIVAS DE FACTOR SALARIAL</t>
  </si>
  <si>
    <t>021</t>
  </si>
  <si>
    <t>A-03-03-01-034</t>
  </si>
  <si>
    <t>034</t>
  </si>
  <si>
    <t>04</t>
  </si>
  <si>
    <t>016</t>
  </si>
  <si>
    <t>A INSTITUTOS DE INVESTIGACIÓN LEY 99 DE 1993</t>
  </si>
  <si>
    <t>A-03-04-02-001</t>
  </si>
  <si>
    <t>001</t>
  </si>
  <si>
    <t>MESADAS PENSIONALES (DE PENSIONES)</t>
  </si>
  <si>
    <t>A-03-04-02-002</t>
  </si>
  <si>
    <t>002</t>
  </si>
  <si>
    <t>CUOTAS PARTES PENSIONALES (DE PENSIONES)</t>
  </si>
  <si>
    <t>A-03-04-02-004</t>
  </si>
  <si>
    <t>004</t>
  </si>
  <si>
    <t>BONOS PENSIONALES (DE PENSIONES)</t>
  </si>
  <si>
    <t>A-03-04-02-012</t>
  </si>
  <si>
    <t>012</t>
  </si>
  <si>
    <t>08</t>
  </si>
  <si>
    <t>IMPUESTOS</t>
  </si>
  <si>
    <t>CUOTA DE FISCALIZACIÓN Y AUDITAJE</t>
  </si>
  <si>
    <t>FORTALECIMIENTO DE LA GESTIÓN AMBIENTAL SECTORIAL Y URBANA A NIVEL NACIONAL  NACIONAL</t>
  </si>
  <si>
    <t>IMPLEMENTACIÓN DE LAS ESTRATEGIAS, INSTRUMENTOS Y RECOMENDACIONES DE LA OCDE EN MATERIA DE GESTIÓN AMBIENTAL A NIVEL   NACIONAL</t>
  </si>
  <si>
    <t>CONSERVACIÓN DE LA BIODIVERSIDAD Y LOS SERVICIOS ECOSISTÉMICOS A NIVEL  NACIONAL</t>
  </si>
  <si>
    <t>CONSOLIDACIÓN SISTEMA DE INFORMACIÓN AMBIENTAL SIAC COMO EJE CENTRAL DE INFORMACIÓN AMBIENTAL OFICIAL Y SOPORTE PARA LA TOMA DE DECISIONES A NIVEL REGIONAL Y NACIONAL Y CONOCIMIENTO EN MATERIA AMBIENTAL A NIVEL NACIONAL Y REGIONAL  BOGOTÁ</t>
  </si>
  <si>
    <t>FORTALECIMIENTO DEL SISTEMA DE OPERACIONES ESTADÍSTICAS AMBIENTALES DEL INSTITUTO DE INVESTIGACIONES MARINAS Y COSTERAS - INVEMAR-  NACIONAL</t>
  </si>
  <si>
    <t>GENERACIÓN CAPACIDADES PARA EL ADECUADO DESEMPEÑO AMBIENTAL DEL SINA EN EL TERRITORIO  NACIONAL</t>
  </si>
  <si>
    <t>14</t>
  </si>
  <si>
    <t>FORTALECIMIENTO DE LA GESTIÓN INSTITUCIONAL  DE LA SECRETARÍA GENERAL DEL MINISTERIO DE AMBIENTE Y DESARROLLO SOSTENIBLE.  BOGOTÁ</t>
  </si>
  <si>
    <t>FORTALECIMIENTO DE LA ESTRATEGIA DE TI Y TRANSFORMACIÓN DIGITAL EN EL MINISTERIO DE AMBIENTE Y DESARROLLO SOSTENIBLE  NACIONAL</t>
  </si>
  <si>
    <t>FORTALECIMIENTO DE LOS PROCESOS DE PLANEACION, EVALUACION Y SEGUIMIENTO A LA GESTION ADELANTADA POR EL SECTOR AMBIENTAL  NACIONAL</t>
  </si>
  <si>
    <t>17</t>
  </si>
  <si>
    <t>FORTALECIMIENTO EN EL CONTROL Y SEGUIMIENTO A LOS COMPROMISOS ADQUIRIDOS EN ESCENARIOS INTERNACIONALES DE LA GESTIÓN AMBIENTAL.  NACIONAL</t>
  </si>
  <si>
    <t>A-01-01-04</t>
  </si>
  <si>
    <t>010</t>
  </si>
  <si>
    <t>CONSERVACIÓN DE CUENCAS HIDROGRAFICAS ABASTECEDORAS DE ACUEDUCTOS MUNICIPALES A NIVEL  NACIONAL</t>
  </si>
  <si>
    <t>ADMINISTRACIÓN DE LOS RECURSOS PROVENIENTES DE LA TASA POR USO DE AGUA PARA LA PROTECCIÓN Y RECUPERACIÓN DEL RECURSO HÍDRICO EN  ÁREAS DEL SISTEMA DE PARQUES NACIONALES NATURALES DE COLOMBIA  NACIONAL</t>
  </si>
  <si>
    <t>INSTITUTOS_1</t>
  </si>
  <si>
    <t>INCAPACIDADES Y LICENCIAS DE MATERNIDAD Y PATERNIDAD (NO DE PENSIONES)</t>
  </si>
  <si>
    <t>Marzo</t>
  </si>
  <si>
    <t>Apropiación
Inicial</t>
  </si>
  <si>
    <t>Adición</t>
  </si>
  <si>
    <t>Reducción</t>
  </si>
  <si>
    <t>Bloqueo</t>
  </si>
  <si>
    <t>Apropiación Disponible</t>
  </si>
  <si>
    <t>Saldo por Comprometer</t>
  </si>
  <si>
    <t>% Meta Comp.</t>
  </si>
  <si>
    <t>Apropiación Inicial</t>
  </si>
  <si>
    <t>Bloqueada</t>
  </si>
  <si>
    <t>PNN_1</t>
  </si>
  <si>
    <t>Abril</t>
  </si>
  <si>
    <t>Julio</t>
  </si>
  <si>
    <t>Enero</t>
  </si>
  <si>
    <t>Saldo a Comprom.</t>
  </si>
  <si>
    <r>
      <t xml:space="preserve">MADS 
</t>
    </r>
    <r>
      <rPr>
        <sz val="11"/>
        <color theme="1"/>
        <rFont val="Calibri"/>
        <family val="2"/>
        <scheme val="minor"/>
      </rPr>
      <t>(Dependencias)</t>
    </r>
  </si>
  <si>
    <r>
      <t xml:space="preserve">DIR. BOSQUES 
</t>
    </r>
    <r>
      <rPr>
        <sz val="11"/>
        <color theme="1"/>
        <rFont val="Calibri"/>
        <family val="2"/>
        <scheme val="minor"/>
      </rPr>
      <t>(Desincentivo)</t>
    </r>
  </si>
  <si>
    <r>
      <t xml:space="preserve">MADS 
</t>
    </r>
    <r>
      <rPr>
        <sz val="11"/>
        <color theme="1"/>
        <rFont val="Calibri"/>
        <family val="2"/>
        <scheme val="minor"/>
      </rPr>
      <t>(Metas PND)</t>
    </r>
  </si>
  <si>
    <t>Est.</t>
  </si>
  <si>
    <t>OTROS GASTOS DE PERSONAL - DISTRIBUCIÓN PREVIO CONCEPTO DGPPN</t>
  </si>
  <si>
    <t>APOYO A LAS CORPORACIONES AUTÓNOMAS REGIONALES Y DE DESARROLLO SOSTENIBLE, BENEFICIARIAS DEL FONDO DE COMPENSACIÓN AMBIENTAL – FCA,  NACIONAL-[DISTRIBUCION PREVIO CONCEPTO DNP]</t>
  </si>
  <si>
    <t>APOYO A LAS ENTIDADES DEL SECTOR DE AMBIENTE Y DESARROLLO SOSTENIBLE, BENEFICIARIAS DEL FONDO NACIONAL AMBIENTAL NACIONAL - FONAM  NACIONAL-[DISTRIBUCION PREVIO CONCEPTO DNP]</t>
  </si>
  <si>
    <t>BLOQUEO CONFIS</t>
  </si>
  <si>
    <t>C-3203-0900-3</t>
  </si>
  <si>
    <t>BLOQ_SIIF</t>
  </si>
  <si>
    <t>C-3299-0900-6</t>
  </si>
  <si>
    <t>FORTALECIMIENTO DE LA GESTION INSTITUCIONAL Y TECNOLOGICA DE LA AUTORIDAD NACIONAL DE LICENCIAS AMBIENTALES EN EL TERRITORIO  NACIONAL</t>
  </si>
  <si>
    <t>FORTALECIMIENTO DE LOS PROCESOS DE LA EVALUACIÓN Y EL SEGUIMIENTO DE LAS LICENCIAS, PERMISOS Y TRAMITES AMBIENTALES EN EL TERRITORIO NACIONAL</t>
  </si>
  <si>
    <t>FORMULACIÓN ADMINISTRACIÓN DE  LOS RECURSOS FONAM PARA EL USO SOSTENIBLE Y PROTECCIÓN DE LAS ESPECIES CITES  NACIONAL</t>
  </si>
  <si>
    <t>DBBSE_Cites_Desinc</t>
  </si>
  <si>
    <r>
      <t xml:space="preserve">DIR. BOSQUES 
</t>
    </r>
    <r>
      <rPr>
        <sz val="11"/>
        <color theme="1"/>
        <rFont val="Calibri"/>
        <family val="2"/>
        <scheme val="minor"/>
      </rPr>
      <t>(Desincentivo + CITES)</t>
    </r>
  </si>
  <si>
    <t>No hay bloqueos CONFIS</t>
  </si>
  <si>
    <t>FONDO DE COMPENSACIÓN AMBIENTAL DISTRIBUCIÓN COMITÉ FONDO-MINISTERIO DEL MEDIO AMBIENTE ARTÍCULO 24 LEY 344 DE 1996.</t>
  </si>
  <si>
    <t>TRANSFERIR A LA AUTORIDAD NACIONAL DE LICENCIAS AMBIENTALES ANLA. ARTÍCULO 96 LEY 633 DE 2000</t>
  </si>
  <si>
    <t>METAS</t>
  </si>
  <si>
    <t>21</t>
  </si>
  <si>
    <t>20</t>
  </si>
  <si>
    <t>32-06-00</t>
  </si>
  <si>
    <t>CORPORACION AUTONOMA REGIONAL DE CUNDINAMARCA - CAR</t>
  </si>
  <si>
    <t>CAR</t>
  </si>
  <si>
    <t>MINISTERIO DE AMBIENTE Y DESARROLLO SOSTENIBLE - GESTIÓN GENERAL</t>
  </si>
  <si>
    <t>INSTITUTO DE HIDROLOGÍA, METEOROLOGÍA Y ESTUDIOS AMBIENTALES - IDEAM</t>
  </si>
  <si>
    <t>FONDO NACIONAL AMBIENTAL - GESTIÓN GENERAL</t>
  </si>
  <si>
    <t>CORPORACIÓN AUTÓNOMA REGIONAL DE LOS VALLES DEL SINÚ Y SAN JORGE (CVS)</t>
  </si>
  <si>
    <t>CORPORACIÓN AUTÓNOMA REGIONAL DEL QUINDÍO (CRQ)</t>
  </si>
  <si>
    <t>CORPORACIÓN PARA EL DESARROLLO SOSTENIBLE DEL URABÁ (CORPOURABÁ)</t>
  </si>
  <si>
    <t>CORPORACIÓN AUTÓNOMA REGIONAL DE CALDAS (CORPOCALDAS)</t>
  </si>
  <si>
    <t>CORPORACIÓN AUTÓNOMA REGIONAL PARA EL DESARROLLO SOSTENIBLE DEL CHOCO (CODECHOCO)</t>
  </si>
  <si>
    <t>CORPORACIÓN AUTÓNOMA REGIONAL PARA LA DEFENSA DE LA MESETA DE BUCARAMANGA (CDMB)</t>
  </si>
  <si>
    <t>CORPORACIÓN AUTÓNOMA REGIONAL DEL TOLIMA (CORTOLIMA)</t>
  </si>
  <si>
    <t>CORPORACIÓN AUTÓNOMA REGIONAL DE RISARALDA (CARDER)</t>
  </si>
  <si>
    <t>CORPORACIÓN AUTÓNOMA REGIONAL DE NARIÑO (CORPONARIÑO)</t>
  </si>
  <si>
    <t>CORPORACIÓN AUTÓNOMA REGIONAL DE LA FRONTERA NORORIENTAL (CORPONOR)</t>
  </si>
  <si>
    <t>CORPORACIÓN AUTÓNOMA REGIONAL DE LA GUAJIRA (CORPOGUAJIRA)</t>
  </si>
  <si>
    <t>CORPORACIÓN AUTÓNOMA REGIONAL DEL CESAR (CORPOCESAR)</t>
  </si>
  <si>
    <t>CORPORACIÓN AUTÓNOMA REGIONAL DEL CAUCA (CRC)</t>
  </si>
  <si>
    <t>CORPORACIÓN AUTÓNOMA REGIONAL DEL MAGDALENA (CORPAMAG)</t>
  </si>
  <si>
    <t>CORPORACIÓN PARA EL DESARROLLO SOSTENIBLE DEL SUR DE LA AMAZONIA (CORPOAMAZONIA)</t>
  </si>
  <si>
    <t>CORPORACIÓN PARA EL DESARROLLO SOSTENIBLE DEL NORTE Y ORIENTE DE LA AMAZONIA (CDA)</t>
  </si>
  <si>
    <t>CORPORACIÓN PARA EL DESARROLLO SOSTENIBLE DEL ARCHIPIÉLAGO DE SAN ANDRÉS, PROVIDENCIA Y SANTA CATALINA (CORALINA)</t>
  </si>
  <si>
    <t>CORPORACIÓN PARA EL DESARROLLO SOSTENIBLE DEL ÁREA DE MANEJO ESPECIAL LA MACARENA (CORMACARENA)</t>
  </si>
  <si>
    <t>CORPORACIÓN PARA EL DESARROLLO SOSTENIBLE DE LA MOJANA Y EL SAN JORGE (CORPOMOJANA)</t>
  </si>
  <si>
    <t>CORPORACIÓN AUTÓNOMA REGIONAL DE LA ORINOQUIA (CORPORINOQUIA)</t>
  </si>
  <si>
    <t>CORPORACIÓN AUTÓNOMA REGIONAL DE SUCRE (CARSUCRE)</t>
  </si>
  <si>
    <t>CORPORACIÓN AUTÓNOMA REGIONAL DEL ALTO MAGDALENA (CAM)</t>
  </si>
  <si>
    <t>CORPORACIÓN AUTÓNOMA REGIONAL DEL CENTRO DE ANTIOQUIA (CORANTIOQUIA)</t>
  </si>
  <si>
    <t>CORPORACIÓN AUTÓNOMA REGIONAL DEL ATLÁNTICO (CRA)</t>
  </si>
  <si>
    <t>CORPORACIÓN AUTÓNOMA REGIONAL DE SANTANDER (CAS)</t>
  </si>
  <si>
    <t>CORPORACIÓN AUTÓNOMA REGIONAL DE BOYACÁ (CORPOBOYACÁ)</t>
  </si>
  <si>
    <t>CORPORACIÓN AUTÓNOMA REGIONAL DE CHIVOR (CORPOCHIVOR)</t>
  </si>
  <si>
    <t>CORPORACIÓN AUTÓNOMA REGIONAL DEL GUAVIO (CORPOGUAVIO)</t>
  </si>
  <si>
    <t>CORPORACIÓN AUTÓNOMA REGIONAL DEL CANAL DEL DIQUE (CARDIQUE)</t>
  </si>
  <si>
    <t>CORPORACIÓN AUTÓNOMA REGIONAL DEL SUR DE BOLIVAR (CSB)</t>
  </si>
  <si>
    <t>C-3202-0900-19</t>
  </si>
  <si>
    <t>IDEAM_Cred</t>
  </si>
  <si>
    <t>DBBSE_Cred</t>
  </si>
  <si>
    <t>C-3208-0900-3</t>
  </si>
  <si>
    <t>B</t>
  </si>
  <si>
    <t>% Meta Pagado.</t>
  </si>
  <si>
    <t>A-02</t>
  </si>
  <si>
    <t>ADQUISICIÓN DE BIENES  Y SERVICIOS</t>
  </si>
  <si>
    <t>A-03-10</t>
  </si>
  <si>
    <t>SENTENCIAS Y CONCILIACIONES</t>
  </si>
  <si>
    <t>B-10-04-01</t>
  </si>
  <si>
    <t>APORTES AL FONDO DE CONTINGENCIAS</t>
  </si>
  <si>
    <t>IMPLEMENTACION DE ESTRATEGIAS DE EDUCACION, PARTICIPACION Y CULTURA PARA EL FORTALECIMIENTO DE LA GOBERNANZA AMBIENTAL A NIVEL  NACIONAL</t>
  </si>
  <si>
    <t>FORTALECIMIENTO DE LA CAPACIDAD INSTITUCIONAL DE PARQUES NACIONALES NATURALES A NIVEL   NACIONAL</t>
  </si>
  <si>
    <t>FORTALECIMIENTO DE LA GESTIÓN DEL CONOCIMIENTO HIDROLÓGICO, METEOROLÓGICO Y AMBIENTAL  NACIONAL</t>
  </si>
  <si>
    <t>19</t>
  </si>
  <si>
    <t>Inversión + Funcionamiento + Servicio a la Deuda</t>
  </si>
  <si>
    <t>Servicio a la Deuda</t>
  </si>
  <si>
    <t>Asignación Vigente</t>
  </si>
  <si>
    <t>Total Compromisos</t>
  </si>
  <si>
    <t>Total Obligaciones</t>
  </si>
  <si>
    <t>%Compromisos</t>
  </si>
  <si>
    <t>%Obligaciones</t>
  </si>
  <si>
    <t xml:space="preserve">Corporación Autónoma Regional De Los Valles Del Sinú Y San Jorge </t>
  </si>
  <si>
    <t xml:space="preserve">Corporación Autónoma Regional Del Quindío </t>
  </si>
  <si>
    <t xml:space="preserve">Corporación Para El Desarrollo Sostenible Del Urabá </t>
  </si>
  <si>
    <t xml:space="preserve">Corporación Autónoma Regional De Caldas </t>
  </si>
  <si>
    <t xml:space="preserve">Corporación Autónoma Regional Para El Desarrollo Sostenible Del Choco </t>
  </si>
  <si>
    <t xml:space="preserve">Corporación Autónoma Regional Para La Defensa De La Meseta De Bucaramanga </t>
  </si>
  <si>
    <t>CDMB</t>
  </si>
  <si>
    <t xml:space="preserve">Corporación Autónoma Regional Del Tolima </t>
  </si>
  <si>
    <t xml:space="preserve">Corporación Autónoma Regional De Risaralda </t>
  </si>
  <si>
    <t xml:space="preserve">Corporación Autónoma Regional De Nariño </t>
  </si>
  <si>
    <t xml:space="preserve">Corporación Autónoma Regional De La Frontera Nororiental </t>
  </si>
  <si>
    <t xml:space="preserve">Corporación Autónoma Regional De La Guajira </t>
  </si>
  <si>
    <t xml:space="preserve">Corporación Autónoma Regional Del Cesar </t>
  </si>
  <si>
    <t xml:space="preserve">Corporación Autónoma Regional Del Cauca </t>
  </si>
  <si>
    <t xml:space="preserve">Corporación Autónoma Regional Del Magdalena </t>
  </si>
  <si>
    <t xml:space="preserve">Corporación Para El Desarrollo Sostenible Del Sur De La Amazonia </t>
  </si>
  <si>
    <t xml:space="preserve">Corporación Para El Desarrollo Sostenible Del Norte Y Oriente De La Amazonia </t>
  </si>
  <si>
    <t xml:space="preserve">Corporación Para El Desarrollo Sostenible Del Archipiélago De San Andrés, Providencia Y Santa Catalina </t>
  </si>
  <si>
    <t xml:space="preserve">Corporación Para El Desarrollo Sostenible Del Área De Manejo Especial La Macarena </t>
  </si>
  <si>
    <t xml:space="preserve">Corporación Para El Desarrollo Sostenible De La Mojana Y El San Jorge </t>
  </si>
  <si>
    <t xml:space="preserve">Corporación Autónoma Regional De La Orinoquia </t>
  </si>
  <si>
    <t xml:space="preserve">Corporación Autónoma Regional De Sucre </t>
  </si>
  <si>
    <t xml:space="preserve">Corporación Autónoma Regional Del Alto Magdalena </t>
  </si>
  <si>
    <t xml:space="preserve">Corporación Autónoma Regional Del Centro De Antioquia </t>
  </si>
  <si>
    <t xml:space="preserve">Corporación Autónoma Regional Del Atlántico </t>
  </si>
  <si>
    <t xml:space="preserve">Corporación Autónoma Regional De Santander </t>
  </si>
  <si>
    <t xml:space="preserve">Corporación Autónoma Regional De Boyacá </t>
  </si>
  <si>
    <t xml:space="preserve">Corporación Autónoma Regional De Chivor </t>
  </si>
  <si>
    <t xml:space="preserve">Corporación Autónoma Regional Del Guavio </t>
  </si>
  <si>
    <t xml:space="preserve">Corporación Autónoma Regional Del Canal Del Dique </t>
  </si>
  <si>
    <t xml:space="preserve">Corporación Autónoma Regional Del Sur De Bolivar </t>
  </si>
  <si>
    <t>Sigla</t>
  </si>
  <si>
    <t>Ministerio de Ambiente y Desarrollo Sostenible.</t>
  </si>
  <si>
    <t>Presupuesto
Avance del sector Ambiente y sus entidades</t>
  </si>
  <si>
    <t>Ambiente y Desarrollo Sostenible.</t>
  </si>
  <si>
    <t>Compromisos</t>
  </si>
  <si>
    <t>Obligaciones</t>
  </si>
  <si>
    <t>Sector</t>
  </si>
  <si>
    <t>Instituto De Hidrología, Meteorología Y Estudios Ambientales - IDEAM</t>
  </si>
  <si>
    <t>Autoridad Nacional De Licencias Ambientales - ANLA</t>
  </si>
  <si>
    <t>Parques Nacionales Naturales de Colombia - PNN</t>
  </si>
  <si>
    <t>Fondo Nacional Ambiental - FONAM</t>
  </si>
  <si>
    <t>% Avance del Sector</t>
  </si>
  <si>
    <t>Corte:</t>
  </si>
  <si>
    <t>Corporación Autónoma Regional de Cundinamarca</t>
  </si>
  <si>
    <t>CARS - PGN</t>
  </si>
  <si>
    <t>Metas Internas</t>
  </si>
  <si>
    <t>Orden</t>
  </si>
  <si>
    <t>Tipo</t>
  </si>
  <si>
    <t>Meta Compromisos</t>
  </si>
  <si>
    <t>Avance Compromisos</t>
  </si>
  <si>
    <t>% Avance Compromisos</t>
  </si>
  <si>
    <t>Meta Obligaciones</t>
  </si>
  <si>
    <t>Avance Obligaciones</t>
  </si>
  <si>
    <t>% Avance Obligaciones</t>
  </si>
  <si>
    <t>Meta Pagos</t>
  </si>
  <si>
    <t>Avance Pagos</t>
  </si>
  <si>
    <t>Total</t>
  </si>
  <si>
    <t>Servicio a la deuda</t>
  </si>
  <si>
    <t>MADS 
(Dependencias)</t>
  </si>
  <si>
    <t>ORIGEN</t>
  </si>
  <si>
    <t>FONDO</t>
  </si>
  <si>
    <t>MONEDA</t>
  </si>
  <si>
    <t>APROPIACIÓN</t>
  </si>
  <si>
    <t>POR COMPROMETER</t>
  </si>
  <si>
    <t>GESTIÓN CENTRAL</t>
  </si>
  <si>
    <t>COP</t>
  </si>
  <si>
    <t>Grupo Gestión Presupuestal</t>
  </si>
  <si>
    <t>APOYO ENTIDADES</t>
  </si>
  <si>
    <t>MINAMBIENTE</t>
  </si>
  <si>
    <t>MINAMBIENTE (Dependencia)</t>
  </si>
  <si>
    <t>SIGLA</t>
  </si>
  <si>
    <t>MADS 
(Metas PND)</t>
  </si>
  <si>
    <t>C-3202-0900-17</t>
  </si>
  <si>
    <t>18</t>
  </si>
  <si>
    <t>CORPORACIÓN AUTÓNOMA REGIONAL DEL VALLE DEL CAUCA (CVC)</t>
  </si>
  <si>
    <t>32-07-00</t>
  </si>
  <si>
    <t>CVC</t>
  </si>
  <si>
    <t>IMPLEMENTACION DE ESTRATEGIAS DE REDUCCION A LA DEFORESTACION Y ALTERNATIVAS SOSTENIBLES  AMAZONAS, CAQUETA, PUTUMAYO, GUAVIARE, META</t>
  </si>
  <si>
    <t>C-3204-0900-12</t>
  </si>
  <si>
    <t>INVESTIGACION CIENTIFICA Y GESTION DEL CONOCIMIENTO SOBRE LA BIODIVERSIDAD Y SUS CONTRIBUCIONES A LA SOCIEDAD A NIVEL  NACIONAL</t>
  </si>
  <si>
    <t>C-3299-0900-18</t>
  </si>
  <si>
    <t>FORTALECIMIENTO INSTITUCIONAL PARA LA GENERACION DE CONOCIMIENTO EN BIODIVERSIDAD Y LAS CONTRIBUCIONES DE LA NATURALEZA A LA SOCIEDAD  NACIONAL</t>
  </si>
  <si>
    <t>RECUPERACION DE AREAS BOSCOSAS DEGRADADAS POR ACTIVIDADES ANTROPICAS EN LOS MUNICIPIOS DE  BAGADO, LLORO</t>
  </si>
  <si>
    <t>FORMULACION DEL PLAN DE ORDENACION Y MANEJO DE LA CUENCA HIDROGRAFICA DEL RIO PALOMINO, MUNICIPIO DE SANTA MARTA, DEPARTAMENTO DEL MAGDALENA Y MUNICIPIO DE DIBULLA, DEPARTAMENTO DE  LA GUAJIRA</t>
  </si>
  <si>
    <t>RESTAURACION DE AREAS DEFORESTADAS EN JURISDICCION DE CARSUCRE,  SUCRE</t>
  </si>
  <si>
    <t>DAMCRA_Cred</t>
  </si>
  <si>
    <t>DCC_Cred</t>
  </si>
  <si>
    <r>
      <rPr>
        <b/>
        <sz val="11"/>
        <color theme="1"/>
        <rFont val="Calibri"/>
        <family val="2"/>
        <scheme val="minor"/>
      </rPr>
      <t xml:space="preserve">MINISTERIO DE AMBIENTE Y DESARROLLO SOSTENIBLE
INFORME EJECUTIVO DE SEGUIMIENTO A LA EJECUCIÓN PRESUPUESTAL DEL SECTOR AMBIENTE Y DESARROLLO SOSTENIBLE - VIGENCIA 2023
</t>
    </r>
    <r>
      <rPr>
        <b/>
        <sz val="11"/>
        <color rgb="FFFC2879"/>
        <rFont val="Calibri"/>
        <family val="2"/>
        <scheme val="minor"/>
      </rPr>
      <t>EJECUCIÓN ENTIDADES</t>
    </r>
    <r>
      <rPr>
        <sz val="11"/>
        <color theme="1"/>
        <rFont val="Calibri"/>
        <family val="2"/>
        <scheme val="minor"/>
      </rPr>
      <t xml:space="preserve">
(Cifras en millones de pesos)</t>
    </r>
  </si>
  <si>
    <r>
      <rPr>
        <b/>
        <sz val="11"/>
        <color theme="1"/>
        <rFont val="Calibri"/>
        <family val="2"/>
        <scheme val="minor"/>
      </rPr>
      <t xml:space="preserve">MINISTERIO DE AMBIENTE Y DESARROLLO SOSTENIBLE
INFORME EJECUTIVO DE SEGUIMIENTO A LA EJECUCIÓN PRESUPUESTAL DEL SECTOR AMBIENTE Y DESARROLLO SOSTENIBLE - VIGENCIA 2023
</t>
    </r>
    <r>
      <rPr>
        <b/>
        <sz val="11"/>
        <color rgb="FFFC2879"/>
        <rFont val="Calibri"/>
        <family val="2"/>
        <scheme val="minor"/>
      </rPr>
      <t>DEPENDENCIAS</t>
    </r>
    <r>
      <rPr>
        <sz val="11"/>
        <color theme="1"/>
        <rFont val="Calibri"/>
        <family val="2"/>
        <scheme val="minor"/>
      </rPr>
      <t xml:space="preserve">
(Cifras en millones de pesos)</t>
    </r>
  </si>
  <si>
    <r>
      <rPr>
        <b/>
        <sz val="11"/>
        <color theme="1"/>
        <rFont val="Calibri"/>
        <family val="2"/>
        <scheme val="minor"/>
      </rPr>
      <t xml:space="preserve">MINISTERIO DE AMBIENTE Y DESARROLLO SOSTENIBLE
INFORME EJECUTIVO DE SEGUIMIENTO A LA EJECUCIÓN PRESUPUESTAL DEL SECTOR AMBIENTE Y DESARROLLO SOSTENIBLE - VIGENCIA 2023
</t>
    </r>
    <r>
      <rPr>
        <b/>
        <sz val="11"/>
        <color rgb="FFFC2879"/>
        <rFont val="Calibri"/>
        <family val="2"/>
        <scheme val="minor"/>
      </rPr>
      <t>INSTITUTOS</t>
    </r>
    <r>
      <rPr>
        <sz val="11"/>
        <color theme="1"/>
        <rFont val="Calibri"/>
        <family val="2"/>
        <scheme val="minor"/>
      </rPr>
      <t xml:space="preserve">
(Cifras en millones de pesos)</t>
    </r>
  </si>
  <si>
    <r>
      <rPr>
        <b/>
        <sz val="11"/>
        <color theme="1"/>
        <rFont val="Calibri"/>
        <family val="2"/>
        <scheme val="minor"/>
      </rPr>
      <t xml:space="preserve">MINISTERIO DE AMBIENTE Y DESARROLLO SOSTENIBLE
INFORME EJECUTIVO DE SEGUIMIENTO A LA EJECUCIÓN PRESUPUESTAL DEL SECTOR AMBIENTE Y DESARROLLO SOSTENIBLE - VIGENCIA 2023
</t>
    </r>
    <r>
      <rPr>
        <b/>
        <sz val="11"/>
        <color rgb="FFFC2879"/>
        <rFont val="Calibri"/>
        <family val="2"/>
        <scheme val="minor"/>
      </rPr>
      <t>FONAM</t>
    </r>
    <r>
      <rPr>
        <sz val="11"/>
        <color theme="1"/>
        <rFont val="Calibri"/>
        <family val="2"/>
        <scheme val="minor"/>
      </rPr>
      <t xml:space="preserve">
(Cifras en millones de pesos)</t>
    </r>
  </si>
  <si>
    <r>
      <rPr>
        <b/>
        <sz val="11"/>
        <color theme="1"/>
        <rFont val="Calibri"/>
        <family val="2"/>
        <scheme val="minor"/>
      </rPr>
      <t xml:space="preserve">MINISTERIO DE AMBIENTE Y DESARROLLO SOSTENIBLE
INFORME EJECUTIVO DE SEGUIMIENTO A LA EJECUCIÓN PRESUPUESTAL DEL SECTOR AMBIENTE Y DESARROLLO SOSTENIBLE - VIGENCIA 2023
</t>
    </r>
    <r>
      <rPr>
        <b/>
        <sz val="11"/>
        <color rgb="FFFC2879"/>
        <rFont val="Calibri"/>
        <family val="2"/>
        <scheme val="minor"/>
      </rPr>
      <t>CORPORACIONES</t>
    </r>
    <r>
      <rPr>
        <sz val="11"/>
        <color theme="1"/>
        <rFont val="Calibri"/>
        <family val="2"/>
        <scheme val="minor"/>
      </rPr>
      <t xml:space="preserve">
(Cifras en millones de pesos)</t>
    </r>
  </si>
  <si>
    <t>C-3201-0900-1</t>
  </si>
  <si>
    <r>
      <rPr>
        <b/>
        <sz val="11"/>
        <color theme="1"/>
        <rFont val="Calibri"/>
        <family val="2"/>
        <scheme val="minor"/>
      </rPr>
      <t>MINISTERIO DE AMBIENTE Y DESARROLLO SOSTENIBLE
INFORME EJECUTIVO DE SEGUIMIENTO A LA EJECUCIÓN PRESUPUESTAL DEL SECTOR AMBIENTE Y DESARROLLO SOSTENIBLE - VIGENCIA 2023</t>
    </r>
    <r>
      <rPr>
        <sz val="11"/>
        <color theme="1"/>
        <rFont val="Calibri"/>
        <family val="2"/>
        <scheme val="minor"/>
      </rPr>
      <t xml:space="preserve">
</t>
    </r>
    <r>
      <rPr>
        <b/>
        <sz val="11"/>
        <color rgb="FF006666"/>
        <rFont val="Calibri"/>
        <family val="2"/>
        <scheme val="minor"/>
      </rPr>
      <t>PRESUPUESTO TOTAL</t>
    </r>
    <r>
      <rPr>
        <sz val="11"/>
        <color theme="1"/>
        <rFont val="Calibri"/>
        <family val="2"/>
        <scheme val="minor"/>
      </rPr>
      <t xml:space="preserve">
(Cifras en millones de pesos)</t>
    </r>
  </si>
  <si>
    <t>A-08-05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</si>
</sst>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_);_(* \(#,##0.00\);_(* &quot;-&quot;??_);_(@_)"/>
    <numFmt numFmtId="165" formatCode="&quot;$&quot;#,##0.00_);\(&quot;$&quot;#,##0.00\)"/>
    <numFmt numFmtId="166" formatCode="&quot;$&quot;#,##0_);[Red]\(&quot;$&quot;#,##0\)"/>
    <numFmt numFmtId="167" formatCode="&quot;$&quot;#,##0.00_);[Red]\(&quot;$&quot;#,##0.00\)"/>
    <numFmt numFmtId="168" formatCode="&quot;$&quot;#,##0_);\(&quot;$&quot;#,##0\)"/>
    <numFmt numFmtId="169" formatCode="_(&quot;$&quot;* #,##0_);_(&quot;$&quot;* \(#,##0\);_(&quot;$&quot;* &quot;-&quot;_);_(@_)"/>
    <numFmt numFmtId="170" formatCode="0.0%"/>
    <numFmt numFmtId="171" formatCode="[$-1240A]&quot;$&quot;\ #,##0.00;\(&quot;$&quot;\ #,##0.00\)"/>
    <numFmt numFmtId="172" formatCode="&quot;$&quot;\ #,##0"/>
    <numFmt numFmtId="173" formatCode="[$-F800]dddd\,\ mmmm\ dd\,\ yyyy"/>
    <numFmt numFmtId="174" formatCode="[$-1240A]&quot;$&quot;\ #,##0.00;\-&quot;$&quot;\ #,##0.00"/>
    <numFmt numFmtId="175" formatCode="&quot;$&quot;\ #,##0.00"/>
    <numFmt numFmtId="176" formatCode="&quot;$&quot;\ #,##0.0"/>
    <numFmt numFmtId="177" formatCode="[$-240A]d&quot; de &quot;mmmm&quot; de &quot;yyyy;@"/>
    <numFmt numFmtId="178" formatCode="&quot;$&quot;#,##0.0000000_);[Red]\(&quot;$&quot;#,##0.0000000\)"/>
    <numFmt numFmtId="179" formatCode="_-* #,##0_-;\-* #,##0_-;_-* &quot;-&quot;??_-;_-@_-"/>
  </numFmts>
  <fonts count="67">
    <font>
      <sz val="11"/>
      <color theme="1"/>
      <name val="Calibri"/>
      <family val="2"/>
      <scheme val="minor"/>
    </font>
    <font>
      <sz val="11"/>
      <color theme="1"/>
      <name val="Calibri"/>
      <family val="2"/>
      <scheme val="minor"/>
    </font>
    <font>
      <sz val="10"/>
      <name val="Arial"/>
      <family val="2"/>
    </font>
    <font>
      <b/>
      <sz val="11"/>
      <color theme="1" tint="0.34998626667073579"/>
      <name val="Calibri"/>
      <family val="2"/>
      <scheme val="minor"/>
    </font>
    <font>
      <sz val="11"/>
      <color theme="1" tint="0.34998626667073579"/>
      <name val="Calibri"/>
      <family val="2"/>
      <scheme val="minor"/>
    </font>
    <font>
      <b/>
      <sz val="10"/>
      <color theme="0"/>
      <name val="Arial"/>
      <family val="2"/>
    </font>
    <font>
      <sz val="11"/>
      <color rgb="FF000000"/>
      <name val="Calibri"/>
      <family val="2"/>
      <scheme val="minor"/>
    </font>
    <font>
      <b/>
      <sz val="11"/>
      <color theme="1"/>
      <name val="Calibri"/>
      <family val="2"/>
      <scheme val="minor"/>
    </font>
    <font>
      <b/>
      <sz val="10"/>
      <color theme="3"/>
      <name val="Arial"/>
      <family val="2"/>
    </font>
    <font>
      <sz val="11"/>
      <color theme="9" tint="-0.249977111117893"/>
      <name val="Calibri"/>
      <family val="2"/>
      <scheme val="minor"/>
    </font>
    <font>
      <sz val="14"/>
      <color theme="1"/>
      <name val="Calibri"/>
      <family val="2"/>
      <scheme val="minor"/>
    </font>
    <font>
      <b/>
      <sz val="11"/>
      <color theme="0"/>
      <name val="Calibri"/>
      <family val="2"/>
      <scheme val="minor"/>
    </font>
    <font>
      <b/>
      <sz val="9"/>
      <color rgb="FF000000"/>
      <name val="Times New Roman"/>
      <family val="1"/>
    </font>
    <font>
      <sz val="11"/>
      <name val="Calibri"/>
      <family val="2"/>
    </font>
    <font>
      <b/>
      <sz val="9"/>
      <color rgb="FF000000"/>
      <name val="Times New Roman"/>
      <family val="1"/>
    </font>
    <font>
      <sz val="11"/>
      <name val="Calibri"/>
      <family val="2"/>
    </font>
    <font>
      <b/>
      <sz val="14"/>
      <color theme="0"/>
      <name val="Arial"/>
      <family val="2"/>
    </font>
    <font>
      <b/>
      <sz val="12"/>
      <color theme="0"/>
      <name val="Arial"/>
      <family val="2"/>
    </font>
    <font>
      <b/>
      <sz val="11"/>
      <color rgb="FFFC2879"/>
      <name val="Calibri"/>
      <family val="2"/>
      <scheme val="minor"/>
    </font>
    <font>
      <sz val="11"/>
      <color theme="3"/>
      <name val="Calibri"/>
      <family val="2"/>
      <scheme val="minor"/>
    </font>
    <font>
      <b/>
      <sz val="14"/>
      <color theme="0"/>
      <name val="Calibri"/>
      <family val="2"/>
      <scheme val="minor"/>
    </font>
    <font>
      <sz val="10"/>
      <color theme="1"/>
      <name val="Calibri"/>
      <family val="2"/>
      <scheme val="minor"/>
    </font>
    <font>
      <sz val="24"/>
      <color rgb="FFFC2879"/>
      <name val="Calibri"/>
      <family val="2"/>
      <scheme val="minor"/>
    </font>
    <font>
      <sz val="9"/>
      <color theme="1"/>
      <name val="Calibri"/>
      <family val="2"/>
      <scheme val="minor"/>
    </font>
    <font>
      <sz val="10"/>
      <color theme="9" tint="-0.249977111117893"/>
      <name val="Calibri"/>
      <family val="2"/>
      <scheme val="minor"/>
    </font>
    <font>
      <sz val="10"/>
      <color theme="0"/>
      <name val="Arial Narrow"/>
      <family val="2"/>
    </font>
    <font>
      <b/>
      <sz val="10"/>
      <color theme="0"/>
      <name val="Arial Narrow"/>
      <family val="2"/>
    </font>
    <font>
      <i/>
      <sz val="11"/>
      <color theme="1"/>
      <name val="Calibri"/>
      <family val="2"/>
      <scheme val="minor"/>
    </font>
    <font>
      <sz val="14"/>
      <color theme="9" tint="-0.249977111117893"/>
      <name val="Calibri"/>
      <family val="2"/>
      <scheme val="minor"/>
    </font>
    <font>
      <sz val="11"/>
      <name val="Calibri"/>
      <family val="2"/>
    </font>
    <font>
      <sz val="8"/>
      <color rgb="FF000000"/>
      <name val="Times New Roman"/>
      <family val="1"/>
    </font>
    <font>
      <sz val="8"/>
      <color rgb="FF000000"/>
      <name val="Times New Roman"/>
      <family val="1"/>
    </font>
    <font>
      <sz val="8"/>
      <color rgb="FF000000"/>
      <name val="Times New Roman"/>
      <family val="1"/>
    </font>
    <font>
      <i/>
      <sz val="9"/>
      <name val="Times New Roman"/>
      <family val="1"/>
    </font>
    <font>
      <b/>
      <sz val="9"/>
      <color rgb="FF000000"/>
      <name val="Times New Roman"/>
      <family val="1"/>
    </font>
    <font>
      <sz val="11"/>
      <name val="Calibri"/>
      <family val="2"/>
    </font>
    <font>
      <b/>
      <sz val="9"/>
      <color theme="1"/>
      <name val="Calibri"/>
      <family val="2"/>
      <scheme val="minor"/>
    </font>
    <font>
      <b/>
      <sz val="8"/>
      <color theme="0"/>
      <name val="Arial"/>
      <family val="2"/>
    </font>
    <font>
      <sz val="11"/>
      <name val="Calibri"/>
      <family val="2"/>
      <scheme val="minor"/>
    </font>
    <font>
      <sz val="11"/>
      <color theme="0" tint="-4.9989318521683403E-2"/>
      <name val="Calibri"/>
      <family val="2"/>
      <scheme val="minor"/>
    </font>
    <font>
      <sz val="8"/>
      <color rgb="FF000000"/>
      <name val="Times New Roman"/>
      <family val="1"/>
    </font>
    <font>
      <sz val="8"/>
      <name val="Calibri"/>
      <family val="2"/>
      <scheme val="minor"/>
    </font>
    <font>
      <b/>
      <sz val="10"/>
      <color theme="0"/>
      <name val="Calibri Light"/>
      <family val="2"/>
      <scheme val="major"/>
    </font>
    <font>
      <b/>
      <sz val="16"/>
      <color theme="4" tint="-0.499984740745262"/>
      <name val="Arial Black"/>
      <family val="2"/>
    </font>
    <font>
      <sz val="11"/>
      <color theme="1"/>
      <name val="Arial Black"/>
      <family val="2"/>
    </font>
    <font>
      <sz val="10"/>
      <color theme="1"/>
      <name val="Arial Black"/>
      <family val="2"/>
    </font>
    <font>
      <sz val="6"/>
      <color theme="1"/>
      <name val="Arial Black"/>
      <family val="2"/>
    </font>
    <font>
      <b/>
      <sz val="11"/>
      <color theme="1"/>
      <name val="Calibri Light"/>
      <family val="2"/>
      <scheme val="major"/>
    </font>
    <font>
      <b/>
      <sz val="6"/>
      <color theme="8" tint="-0.249977111117893"/>
      <name val="Calibri Light"/>
      <family val="2"/>
      <scheme val="major"/>
    </font>
    <font>
      <b/>
      <sz val="8"/>
      <color rgb="FF235889"/>
      <name val="Calibri Light"/>
      <family val="2"/>
      <scheme val="major"/>
    </font>
    <font>
      <b/>
      <sz val="8"/>
      <color rgb="FF235889"/>
      <name val="Arial Nova Cond"/>
      <family val="2"/>
    </font>
    <font>
      <b/>
      <sz val="6"/>
      <color rgb="FF235889"/>
      <name val="Calibri Light"/>
      <family val="2"/>
      <scheme val="major"/>
    </font>
    <font>
      <sz val="11"/>
      <color rgb="FF235889"/>
      <name val="Arial Narrow"/>
      <family val="2"/>
    </font>
    <font>
      <sz val="8"/>
      <color rgb="FF235889"/>
      <name val="Arial Black"/>
      <family val="2"/>
    </font>
    <font>
      <b/>
      <sz val="10"/>
      <color rgb="FF000000"/>
      <name val="Calibri"/>
      <family val="2"/>
      <scheme val="minor"/>
    </font>
    <font>
      <sz val="9"/>
      <color rgb="FF000000"/>
      <name val="Calibri"/>
      <family val="2"/>
      <scheme val="minor"/>
    </font>
    <font>
      <sz val="9"/>
      <color rgb="FFFF0000"/>
      <name val="Calibri"/>
      <family val="2"/>
      <scheme val="minor"/>
    </font>
    <font>
      <b/>
      <sz val="9"/>
      <color rgb="FFFF0000"/>
      <name val="Calibri"/>
      <family val="2"/>
      <scheme val="minor"/>
    </font>
    <font>
      <sz val="10"/>
      <color rgb="FF000000"/>
      <name val="Calibri"/>
      <family val="2"/>
      <scheme val="minor"/>
    </font>
    <font>
      <sz val="6"/>
      <color rgb="FF000000"/>
      <name val="Calibri"/>
      <family val="2"/>
      <scheme val="minor"/>
    </font>
    <font>
      <sz val="6"/>
      <color theme="1"/>
      <name val="Calibri"/>
      <family val="2"/>
      <scheme val="minor"/>
    </font>
    <font>
      <sz val="11"/>
      <name val="Calibri"/>
      <family val="2"/>
    </font>
    <font>
      <sz val="8"/>
      <color rgb="FF000000"/>
      <name val="Times New Roman"/>
      <family val="1"/>
    </font>
    <font>
      <sz val="8"/>
      <color rgb="FF000000"/>
      <name val="Times New Roman"/>
      <family val="1"/>
    </font>
    <font>
      <sz val="8"/>
      <color rgb="FF000000"/>
      <name val="Times New Roman"/>
      <family val="1"/>
    </font>
    <font>
      <b/>
      <sz val="16"/>
      <color theme="0"/>
      <name val="Calibri"/>
      <family val="2"/>
      <scheme val="minor"/>
    </font>
    <font>
      <b/>
      <sz val="11"/>
      <color rgb="FF006666"/>
      <name val="Calibri"/>
      <family val="2"/>
      <scheme val="minor"/>
    </font>
  </fonts>
  <fills count="1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3"/>
        <bgColor indexed="64"/>
      </patternFill>
    </fill>
    <fill>
      <patternFill patternType="solid">
        <fgColor theme="4" tint="-0.499984740745262"/>
        <bgColor indexed="64"/>
      </patternFill>
    </fill>
    <fill>
      <patternFill patternType="solid">
        <fgColor theme="6" tint="0.79998168889431442"/>
        <bgColor indexed="64"/>
      </patternFill>
    </fill>
    <fill>
      <patternFill patternType="solid">
        <fgColor theme="4"/>
        <bgColor indexed="64"/>
      </patternFill>
    </fill>
    <fill>
      <patternFill patternType="solid">
        <fgColor theme="3" tint="0.79998168889431442"/>
        <bgColor indexed="64"/>
      </patternFill>
    </fill>
    <fill>
      <patternFill patternType="solid">
        <fgColor rgb="FFFFFF00"/>
        <bgColor indexed="64"/>
      </patternFill>
    </fill>
    <fill>
      <patternFill patternType="solid">
        <fgColor theme="8" tint="-0.499984740745262"/>
        <bgColor indexed="64"/>
      </patternFill>
    </fill>
    <fill>
      <patternFill patternType="solid">
        <fgColor rgb="FFFFFFFF"/>
        <bgColor rgb="FF000000"/>
      </patternFill>
    </fill>
    <fill>
      <patternFill patternType="solid">
        <fgColor rgb="FF004A48"/>
        <bgColor indexed="64"/>
      </patternFill>
    </fill>
    <fill>
      <patternFill patternType="solid">
        <fgColor rgb="FF039B89"/>
        <bgColor indexed="64"/>
      </patternFill>
    </fill>
  </fills>
  <borders count="78">
    <border>
      <left/>
      <right/>
      <top/>
      <bottom/>
      <diagonal/>
    </border>
    <border>
      <left style="thin">
        <color rgb="FFD3D3D3"/>
      </left>
      <right style="thin">
        <color rgb="FFD3D3D3"/>
      </right>
      <top style="thin">
        <color rgb="FFD3D3D3"/>
      </top>
      <bottom style="thin">
        <color rgb="FFD3D3D3"/>
      </bottom>
      <diagonal/>
    </border>
    <border>
      <left style="hair">
        <color theme="0" tint="-0.14996795556505021"/>
      </left>
      <right style="hair">
        <color theme="0" tint="-0.14996795556505021"/>
      </right>
      <top style="hair">
        <color theme="0" tint="-0.14996795556505021"/>
      </top>
      <bottom style="hair">
        <color theme="0" tint="-0.14996795556505021"/>
      </bottom>
      <diagonal/>
    </border>
    <border>
      <left style="hair">
        <color theme="0" tint="-0.14993743705557422"/>
      </left>
      <right style="hair">
        <color theme="0" tint="-0.14993743705557422"/>
      </right>
      <top style="hair">
        <color theme="0" tint="-0.14993743705557422"/>
      </top>
      <bottom style="hair">
        <color theme="0" tint="-0.14993743705557422"/>
      </bottom>
      <diagonal/>
    </border>
    <border>
      <left style="hair">
        <color theme="0" tint="-0.14996795556505021"/>
      </left>
      <right style="hair">
        <color theme="0" tint="-0.14996795556505021"/>
      </right>
      <top style="hair">
        <color theme="0" tint="-0.14996795556505021"/>
      </top>
      <bottom/>
      <diagonal/>
    </border>
    <border>
      <left style="hair">
        <color theme="0" tint="-0.14996795556505021"/>
      </left>
      <right style="hair">
        <color theme="0" tint="-0.14996795556505021"/>
      </right>
      <top/>
      <bottom/>
      <diagonal/>
    </border>
    <border>
      <left style="hair">
        <color theme="0" tint="-0.14996795556505021"/>
      </left>
      <right style="hair">
        <color theme="0" tint="-0.14996795556505021"/>
      </right>
      <top/>
      <bottom style="hair">
        <color theme="0" tint="-0.14996795556505021"/>
      </bottom>
      <diagonal/>
    </border>
    <border>
      <left/>
      <right style="hair">
        <color theme="0" tint="-0.14996795556505021"/>
      </right>
      <top style="hair">
        <color theme="0" tint="-0.14996795556505021"/>
      </top>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14990691854609822"/>
      </left>
      <right style="hair">
        <color theme="0" tint="-0.14990691854609822"/>
      </right>
      <top style="hair">
        <color theme="0" tint="-0.14990691854609822"/>
      </top>
      <bottom style="hair">
        <color theme="0" tint="-0.14990691854609822"/>
      </bottom>
      <diagonal/>
    </border>
    <border>
      <left style="hair">
        <color theme="0" tint="-0.14993743705557422"/>
      </left>
      <right/>
      <top style="hair">
        <color theme="0" tint="-0.14993743705557422"/>
      </top>
      <bottom style="hair">
        <color theme="0" tint="-0.14993743705557422"/>
      </bottom>
      <diagonal/>
    </border>
    <border>
      <left style="hair">
        <color theme="0" tint="-0.14996795556505021"/>
      </left>
      <right/>
      <top style="hair">
        <color theme="0" tint="-0.14996795556505021"/>
      </top>
      <bottom/>
      <diagonal/>
    </border>
    <border>
      <left style="hair">
        <color theme="0" tint="-0.14990691854609822"/>
      </left>
      <right/>
      <top style="hair">
        <color theme="0" tint="-0.14990691854609822"/>
      </top>
      <bottom style="hair">
        <color theme="0" tint="-0.14990691854609822"/>
      </bottom>
      <diagonal/>
    </border>
    <border>
      <left/>
      <right style="hair">
        <color theme="0" tint="-0.14996795556505021"/>
      </right>
      <top/>
      <bottom/>
      <diagonal/>
    </border>
    <border>
      <left/>
      <right/>
      <top/>
      <bottom style="hair">
        <color theme="0" tint="-0.14996795556505021"/>
      </bottom>
      <diagonal/>
    </border>
    <border>
      <left/>
      <right style="double">
        <color theme="0" tint="-0.24994659260841701"/>
      </right>
      <top/>
      <bottom/>
      <diagonal/>
    </border>
    <border>
      <left style="double">
        <color theme="0" tint="-0.14996795556505021"/>
      </left>
      <right/>
      <top/>
      <bottom/>
      <diagonal/>
    </border>
    <border>
      <left/>
      <right style="double">
        <color theme="0" tint="-0.14996795556505021"/>
      </right>
      <top/>
      <bottom style="hair">
        <color theme="0" tint="-0.14996795556505021"/>
      </bottom>
      <diagonal/>
    </border>
    <border>
      <left style="hair">
        <color theme="0" tint="-0.14996795556505021"/>
      </left>
      <right style="double">
        <color theme="0" tint="-0.14996795556505021"/>
      </right>
      <top style="hair">
        <color theme="0" tint="-0.14996795556505021"/>
      </top>
      <bottom/>
      <diagonal/>
    </border>
    <border>
      <left style="double">
        <color theme="0" tint="-0.1499679555650502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14996795556505021"/>
      </right>
      <top style="hair">
        <color theme="0" tint="-0.24994659260841701"/>
      </top>
      <bottom style="hair">
        <color theme="0" tint="-0.24994659260841701"/>
      </bottom>
      <diagonal/>
    </border>
    <border>
      <left style="double">
        <color theme="0" tint="-0.14996795556505021"/>
      </left>
      <right/>
      <top style="hair">
        <color theme="0" tint="-0.24994659260841701"/>
      </top>
      <bottom style="hair">
        <color theme="0" tint="-0.24994659260841701"/>
      </bottom>
      <diagonal/>
    </border>
    <border>
      <left/>
      <right style="double">
        <color theme="0" tint="-0.24994659260841701"/>
      </right>
      <top/>
      <bottom style="hair">
        <color theme="0" tint="-0.1499679555650502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right/>
      <top/>
      <bottom style="hair">
        <color theme="0" tint="-0.24994659260841701"/>
      </bottom>
      <diagonal/>
    </border>
    <border>
      <left style="hair">
        <color theme="0" tint="-0.14993743705557422"/>
      </left>
      <right style="hair">
        <color theme="0" tint="-0.14993743705557422"/>
      </right>
      <top style="hair">
        <color theme="0" tint="-0.14993743705557422"/>
      </top>
      <bottom/>
      <diagonal/>
    </border>
    <border>
      <left style="hair">
        <color theme="0" tint="-0.14993743705557422"/>
      </left>
      <right style="hair">
        <color theme="0" tint="-0.14993743705557422"/>
      </right>
      <top/>
      <bottom style="hair">
        <color theme="0" tint="-0.14993743705557422"/>
      </bottom>
      <diagonal/>
    </border>
    <border>
      <left style="hair">
        <color theme="0" tint="-0.24994659260841701"/>
      </left>
      <right/>
      <top style="hair">
        <color theme="0" tint="-0.24994659260841701"/>
      </top>
      <bottom style="hair">
        <color theme="0" tint="-0.24994659260841701"/>
      </bottom>
      <diagonal/>
    </border>
    <border>
      <left/>
      <right style="hair">
        <color theme="0" tint="-0.14996795556505021"/>
      </right>
      <top/>
      <bottom style="hair">
        <color theme="0" tint="-0.24994659260841701"/>
      </bottom>
      <diagonal/>
    </border>
    <border>
      <left/>
      <right style="double">
        <color theme="0" tint="-0.14996795556505021"/>
      </right>
      <top/>
      <bottom/>
      <diagonal/>
    </border>
    <border>
      <left style="thin">
        <color rgb="FFD3D3D3"/>
      </left>
      <right style="thin">
        <color rgb="FFD3D3D3"/>
      </right>
      <top/>
      <bottom/>
      <diagonal/>
    </border>
    <border>
      <left/>
      <right/>
      <top style="hair">
        <color theme="0" tint="-0.14993743705557422"/>
      </top>
      <bottom/>
      <diagonal/>
    </border>
    <border>
      <left/>
      <right/>
      <top style="hair">
        <color theme="0" tint="-0.14993743705557422"/>
      </top>
      <bottom style="hair">
        <color theme="0" tint="-0.14996795556505021"/>
      </bottom>
      <diagonal/>
    </border>
    <border>
      <left/>
      <right style="double">
        <color theme="0" tint="-0.14996795556505021"/>
      </right>
      <top style="hair">
        <color theme="0" tint="-0.14993743705557422"/>
      </top>
      <bottom style="hair">
        <color theme="0" tint="-0.14996795556505021"/>
      </bottom>
      <diagonal/>
    </border>
    <border>
      <left/>
      <right style="double">
        <color theme="0" tint="-0.14996795556505021"/>
      </right>
      <top style="hair">
        <color theme="0" tint="-0.14993743705557422"/>
      </top>
      <bottom/>
      <diagonal/>
    </border>
    <border>
      <left style="double">
        <color theme="0" tint="-0.14996795556505021"/>
      </left>
      <right style="hair">
        <color theme="0" tint="-0.14996795556505021"/>
      </right>
      <top style="double">
        <color theme="0" tint="-0.14996795556505021"/>
      </top>
      <bottom style="hair">
        <color theme="0" tint="-0.14996795556505021"/>
      </bottom>
      <diagonal/>
    </border>
    <border>
      <left style="hair">
        <color theme="0" tint="-0.14996795556505021"/>
      </left>
      <right style="hair">
        <color theme="0" tint="-0.14996795556505021"/>
      </right>
      <top style="double">
        <color theme="0" tint="-0.14996795556505021"/>
      </top>
      <bottom style="hair">
        <color theme="0" tint="-0.14996795556505021"/>
      </bottom>
      <diagonal/>
    </border>
    <border>
      <left style="hair">
        <color theme="0" tint="-0.14996795556505021"/>
      </left>
      <right style="double">
        <color theme="0" tint="-0.14996795556505021"/>
      </right>
      <top style="double">
        <color theme="0" tint="-0.14996795556505021"/>
      </top>
      <bottom style="hair">
        <color theme="0" tint="-0.14996795556505021"/>
      </bottom>
      <diagonal/>
    </border>
    <border>
      <left style="double">
        <color theme="0" tint="-0.14996795556505021"/>
      </left>
      <right style="hair">
        <color theme="0" tint="-0.14996795556505021"/>
      </right>
      <top style="hair">
        <color theme="0" tint="-0.14996795556505021"/>
      </top>
      <bottom style="hair">
        <color theme="0" tint="-0.14996795556505021"/>
      </bottom>
      <diagonal/>
    </border>
    <border>
      <left style="hair">
        <color theme="0" tint="-0.14996795556505021"/>
      </left>
      <right style="double">
        <color theme="0" tint="-0.14996795556505021"/>
      </right>
      <top style="hair">
        <color theme="0" tint="-0.14996795556505021"/>
      </top>
      <bottom style="hair">
        <color theme="0" tint="-0.14996795556505021"/>
      </bottom>
      <diagonal/>
    </border>
    <border>
      <left style="double">
        <color theme="0" tint="-0.14996795556505021"/>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double">
        <color theme="0" tint="-0.14996795556505021"/>
      </right>
      <top style="hair">
        <color theme="0" tint="-0.14996795556505021"/>
      </top>
      <bottom style="hair">
        <color theme="0" tint="-0.14996795556505021"/>
      </bottom>
      <diagonal/>
    </border>
    <border>
      <left style="double">
        <color theme="0" tint="-0.14996795556505021"/>
      </left>
      <right/>
      <top style="double">
        <color theme="0" tint="-0.14996795556505021"/>
      </top>
      <bottom/>
      <diagonal/>
    </border>
    <border>
      <left/>
      <right/>
      <top style="double">
        <color theme="0" tint="-0.14996795556505021"/>
      </top>
      <bottom/>
      <diagonal/>
    </border>
    <border>
      <left/>
      <right style="double">
        <color theme="0" tint="-0.14996795556505021"/>
      </right>
      <top style="double">
        <color theme="0" tint="-0.14996795556505021"/>
      </top>
      <bottom/>
      <diagonal/>
    </border>
    <border>
      <left style="double">
        <color theme="0" tint="-0.14996795556505021"/>
      </left>
      <right/>
      <top style="hair">
        <color theme="0" tint="-0.14993743705557422"/>
      </top>
      <bottom style="hair">
        <color theme="0" tint="-0.14996795556505021"/>
      </bottom>
      <diagonal/>
    </border>
    <border>
      <left style="double">
        <color theme="0" tint="-0.14996795556505021"/>
      </left>
      <right/>
      <top/>
      <bottom style="hair">
        <color theme="0" tint="-0.24994659260841701"/>
      </bottom>
      <diagonal/>
    </border>
    <border>
      <left/>
      <right style="double">
        <color theme="0" tint="-0.14996795556505021"/>
      </right>
      <top/>
      <bottom style="hair">
        <color theme="0" tint="-0.24994659260841701"/>
      </bottom>
      <diagonal/>
    </border>
    <border>
      <left/>
      <right style="double">
        <color theme="0" tint="-0.14996795556505021"/>
      </right>
      <top style="hair">
        <color theme="0" tint="-0.24994659260841701"/>
      </top>
      <bottom style="hair">
        <color theme="0" tint="-0.24994659260841701"/>
      </bottom>
      <diagonal/>
    </border>
    <border>
      <left/>
      <right/>
      <top/>
      <bottom style="double">
        <color theme="0" tint="-0.14996795556505021"/>
      </bottom>
      <diagonal/>
    </border>
    <border>
      <left/>
      <right style="double">
        <color theme="0" tint="-0.14996795556505021"/>
      </right>
      <top/>
      <bottom style="double">
        <color theme="0" tint="-0.14996795556505021"/>
      </bottom>
      <diagonal/>
    </border>
    <border>
      <left style="double">
        <color theme="0" tint="-0.14996795556505021"/>
      </left>
      <right/>
      <top style="hair">
        <color theme="0" tint="-0.14996795556505021"/>
      </top>
      <bottom style="double">
        <color theme="0" tint="-0.14996795556505021"/>
      </bottom>
      <diagonal/>
    </border>
    <border>
      <left/>
      <right/>
      <top style="hair">
        <color theme="0" tint="-0.14996795556505021"/>
      </top>
      <bottom style="double">
        <color theme="0" tint="-0.14996795556505021"/>
      </bottom>
      <diagonal/>
    </border>
    <border>
      <left/>
      <right style="double">
        <color theme="0" tint="-0.14996795556505021"/>
      </right>
      <top style="hair">
        <color theme="0" tint="-0.14996795556505021"/>
      </top>
      <bottom style="double">
        <color theme="0" tint="-0.14996795556505021"/>
      </bottom>
      <diagonal/>
    </border>
    <border>
      <left style="double">
        <color theme="0" tint="-0.14996795556505021"/>
      </left>
      <right/>
      <top/>
      <bottom style="double">
        <color theme="0" tint="-0.14996795556505021"/>
      </bottom>
      <diagonal/>
    </border>
    <border>
      <left style="hair">
        <color theme="0" tint="-0.14993743705557422"/>
      </left>
      <right/>
      <top/>
      <bottom style="hair">
        <color theme="0" tint="-0.24994659260841701"/>
      </bottom>
      <diagonal/>
    </border>
    <border>
      <left/>
      <right style="double">
        <color theme="0" tint="-0.24994659260841701"/>
      </right>
      <top style="hair">
        <color theme="0" tint="-0.24994659260841701"/>
      </top>
      <bottom style="hair">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theme="0" tint="-0.14996795556505021"/>
      </left>
      <right/>
      <top/>
      <bottom style="hair">
        <color theme="0" tint="-0.1499679555650502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8">
    <xf numFmtId="0" fontId="0" fillId="0" borderId="0"/>
    <xf numFmtId="9" fontId="1"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169" fontId="1"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9" fontId="6"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349">
    <xf numFmtId="0" fontId="0" fillId="0" borderId="0" xfId="0"/>
    <xf numFmtId="0" fontId="4" fillId="0" borderId="0" xfId="0" applyFont="1"/>
    <xf numFmtId="0" fontId="4" fillId="0" borderId="2" xfId="0" applyFont="1" applyBorder="1"/>
    <xf numFmtId="10" fontId="4" fillId="0" borderId="2" xfId="1" applyNumberFormat="1" applyFont="1" applyBorder="1"/>
    <xf numFmtId="0" fontId="4" fillId="0" borderId="0" xfId="0" applyFont="1" applyAlignment="1">
      <alignment wrapText="1"/>
    </xf>
    <xf numFmtId="0" fontId="3" fillId="0" borderId="2" xfId="0" applyFont="1" applyBorder="1" applyAlignment="1">
      <alignment horizontal="center" vertical="center" wrapText="1"/>
    </xf>
    <xf numFmtId="0" fontId="4" fillId="0" borderId="0" xfId="0" applyFont="1" applyAlignment="1">
      <alignment horizontal="center" vertical="center" wrapText="1"/>
    </xf>
    <xf numFmtId="0" fontId="3" fillId="0" borderId="4" xfId="0" applyFont="1" applyBorder="1" applyAlignment="1">
      <alignment horizontal="center" vertical="center" wrapText="1"/>
    </xf>
    <xf numFmtId="0" fontId="4" fillId="0" borderId="3" xfId="0" applyFont="1" applyBorder="1"/>
    <xf numFmtId="0" fontId="4" fillId="0" borderId="3" xfId="0" applyFont="1" applyBorder="1" applyAlignment="1">
      <alignment horizontal="center"/>
    </xf>
    <xf numFmtId="172" fontId="0" fillId="0" borderId="3" xfId="0" applyNumberFormat="1" applyBorder="1"/>
    <xf numFmtId="49" fontId="0" fillId="0" borderId="3" xfId="0" applyNumberFormat="1" applyBorder="1"/>
    <xf numFmtId="169" fontId="0" fillId="0" borderId="0" xfId="6" applyFont="1"/>
    <xf numFmtId="170" fontId="0" fillId="0" borderId="0" xfId="1" applyNumberFormat="1" applyFont="1"/>
    <xf numFmtId="172" fontId="0" fillId="0" borderId="11" xfId="0" applyNumberFormat="1" applyBorder="1"/>
    <xf numFmtId="170" fontId="0" fillId="0" borderId="0" xfId="1" applyNumberFormat="1" applyFont="1" applyAlignment="1">
      <alignment horizontal="center"/>
    </xf>
    <xf numFmtId="170" fontId="0" fillId="0" borderId="10" xfId="1" applyNumberFormat="1" applyFont="1" applyBorder="1" applyAlignment="1">
      <alignment horizontal="center"/>
    </xf>
    <xf numFmtId="0" fontId="8" fillId="3" borderId="6" xfId="0" applyFont="1" applyFill="1" applyBorder="1" applyAlignment="1">
      <alignment horizontal="center" vertical="center" wrapText="1"/>
    </xf>
    <xf numFmtId="0" fontId="8" fillId="3" borderId="4" xfId="0" applyFont="1" applyFill="1" applyBorder="1" applyAlignment="1">
      <alignment horizontal="center" vertical="center" wrapText="1"/>
    </xf>
    <xf numFmtId="170" fontId="8" fillId="3" borderId="4" xfId="1" applyNumberFormat="1" applyFont="1" applyFill="1" applyBorder="1" applyAlignment="1">
      <alignment horizontal="center" vertical="center" wrapText="1"/>
    </xf>
    <xf numFmtId="0" fontId="0" fillId="0" borderId="0" xfId="0" applyAlignment="1">
      <alignment horizontal="center"/>
    </xf>
    <xf numFmtId="0" fontId="4" fillId="0" borderId="0" xfId="0" applyFont="1" applyAlignment="1">
      <alignment horizontal="center"/>
    </xf>
    <xf numFmtId="0" fontId="9" fillId="0" borderId="0" xfId="0" applyFont="1"/>
    <xf numFmtId="0" fontId="0" fillId="0" borderId="17" xfId="0" applyBorder="1" applyAlignment="1">
      <alignment horizontal="center" wrapText="1"/>
    </xf>
    <xf numFmtId="168" fontId="0" fillId="0" borderId="0" xfId="0" applyNumberFormat="1"/>
    <xf numFmtId="0" fontId="14" fillId="0" borderId="1" xfId="7" applyFont="1" applyBorder="1" applyAlignment="1">
      <alignment horizontal="center" vertical="center" wrapText="1" readingOrder="1"/>
    </xf>
    <xf numFmtId="0" fontId="14" fillId="0" borderId="0" xfId="7" applyFont="1" applyAlignment="1">
      <alignment horizontal="center" vertical="center" wrapText="1" readingOrder="1"/>
    </xf>
    <xf numFmtId="0" fontId="15" fillId="0" borderId="0" xfId="7" applyFont="1"/>
    <xf numFmtId="170" fontId="8" fillId="3" borderId="12" xfId="1" applyNumberFormat="1" applyFont="1" applyFill="1" applyBorder="1" applyAlignment="1">
      <alignment vertical="center" wrapText="1"/>
    </xf>
    <xf numFmtId="170" fontId="8" fillId="3" borderId="7" xfId="1" applyNumberFormat="1" applyFont="1" applyFill="1" applyBorder="1" applyAlignment="1">
      <alignment vertical="center" wrapText="1"/>
    </xf>
    <xf numFmtId="170" fontId="0" fillId="5" borderId="0" xfId="1" applyNumberFormat="1" applyFont="1" applyFill="1"/>
    <xf numFmtId="0" fontId="4" fillId="6" borderId="2" xfId="0" applyFont="1" applyFill="1" applyBorder="1"/>
    <xf numFmtId="0" fontId="4" fillId="6" borderId="3" xfId="0" applyFont="1" applyFill="1" applyBorder="1"/>
    <xf numFmtId="0" fontId="10" fillId="0" borderId="0" xfId="0" applyFont="1"/>
    <xf numFmtId="0" fontId="10" fillId="0" borderId="8" xfId="0" applyFont="1" applyBorder="1" applyAlignment="1">
      <alignment vertical="center"/>
    </xf>
    <xf numFmtId="168" fontId="10" fillId="0" borderId="8" xfId="6" applyNumberFormat="1" applyFont="1" applyBorder="1" applyAlignment="1">
      <alignment horizontal="center" vertical="center"/>
    </xf>
    <xf numFmtId="170" fontId="10" fillId="0" borderId="13" xfId="1" applyNumberFormat="1" applyFont="1" applyBorder="1" applyAlignment="1">
      <alignment horizontal="center" vertical="center"/>
    </xf>
    <xf numFmtId="0" fontId="10" fillId="0" borderId="9" xfId="0" applyFont="1" applyBorder="1" applyAlignment="1">
      <alignment vertical="center"/>
    </xf>
    <xf numFmtId="0" fontId="10" fillId="0" borderId="20" xfId="0" applyFont="1" applyBorder="1" applyAlignment="1">
      <alignment vertical="center"/>
    </xf>
    <xf numFmtId="168" fontId="10" fillId="0" borderId="9" xfId="6" applyNumberFormat="1" applyFont="1" applyBorder="1" applyAlignment="1">
      <alignment horizontal="center" vertical="center"/>
    </xf>
    <xf numFmtId="170" fontId="10" fillId="0" borderId="8" xfId="6" applyNumberFormat="1" applyFont="1" applyBorder="1" applyAlignment="1">
      <alignment horizontal="center" vertical="center"/>
    </xf>
    <xf numFmtId="0" fontId="10" fillId="0" borderId="0" xfId="0" applyFont="1" applyAlignment="1">
      <alignment vertical="center"/>
    </xf>
    <xf numFmtId="168" fontId="10" fillId="0" borderId="0" xfId="0" applyNumberFormat="1" applyFont="1" applyAlignment="1">
      <alignment vertical="center"/>
    </xf>
    <xf numFmtId="49" fontId="10" fillId="0" borderId="3" xfId="0" applyNumberFormat="1" applyFont="1" applyBorder="1" applyAlignment="1">
      <alignment vertical="center"/>
    </xf>
    <xf numFmtId="0" fontId="0" fillId="0" borderId="0" xfId="0" applyAlignment="1">
      <alignment horizontal="left"/>
    </xf>
    <xf numFmtId="0" fontId="5" fillId="7" borderId="6" xfId="0" applyFont="1" applyFill="1" applyBorder="1" applyAlignment="1">
      <alignment horizontal="center" vertical="center" wrapText="1"/>
    </xf>
    <xf numFmtId="0" fontId="5" fillId="7" borderId="4" xfId="0" applyFont="1" applyFill="1" applyBorder="1" applyAlignment="1">
      <alignment horizontal="center" vertical="center" wrapText="1"/>
    </xf>
    <xf numFmtId="170" fontId="5" fillId="7" borderId="4" xfId="1" applyNumberFormat="1" applyFont="1" applyFill="1" applyBorder="1" applyAlignment="1">
      <alignment horizontal="center" vertical="center" wrapText="1"/>
    </xf>
    <xf numFmtId="170" fontId="5" fillId="7" borderId="12" xfId="1" applyNumberFormat="1" applyFont="1" applyFill="1" applyBorder="1" applyAlignment="1">
      <alignment vertical="center" wrapText="1"/>
    </xf>
    <xf numFmtId="0" fontId="8" fillId="6" borderId="6" xfId="0" applyFont="1" applyFill="1" applyBorder="1" applyAlignment="1">
      <alignment horizontal="center" vertical="center" wrapText="1"/>
    </xf>
    <xf numFmtId="0" fontId="8" fillId="6" borderId="4" xfId="0" applyFont="1" applyFill="1" applyBorder="1" applyAlignment="1">
      <alignment horizontal="center" vertical="center" wrapText="1"/>
    </xf>
    <xf numFmtId="170" fontId="8" fillId="6" borderId="4" xfId="1" applyNumberFormat="1" applyFont="1" applyFill="1" applyBorder="1" applyAlignment="1">
      <alignment horizontal="center" vertical="center" wrapText="1"/>
    </xf>
    <xf numFmtId="170" fontId="8" fillId="6" borderId="12" xfId="1" applyNumberFormat="1" applyFont="1" applyFill="1" applyBorder="1" applyAlignment="1">
      <alignment vertical="center" wrapText="1"/>
    </xf>
    <xf numFmtId="170" fontId="8" fillId="6" borderId="7" xfId="1" applyNumberFormat="1" applyFont="1" applyFill="1" applyBorder="1" applyAlignment="1">
      <alignment vertical="center" wrapText="1"/>
    </xf>
    <xf numFmtId="0" fontId="5" fillId="8" borderId="5" xfId="0" applyFont="1" applyFill="1" applyBorder="1" applyAlignment="1">
      <alignment horizontal="center" vertical="center" wrapText="1"/>
    </xf>
    <xf numFmtId="0" fontId="5" fillId="8" borderId="6" xfId="0" applyFont="1" applyFill="1" applyBorder="1" applyAlignment="1">
      <alignment horizontal="center" vertical="center"/>
    </xf>
    <xf numFmtId="49" fontId="4" fillId="0" borderId="0" xfId="0" applyNumberFormat="1" applyFont="1"/>
    <xf numFmtId="0" fontId="24" fillId="0" borderId="0" xfId="0" applyFont="1"/>
    <xf numFmtId="0" fontId="21" fillId="0" borderId="0" xfId="0" applyFont="1" applyAlignment="1">
      <alignment horizontal="center"/>
    </xf>
    <xf numFmtId="0" fontId="21" fillId="0" borderId="0" xfId="0" applyFont="1"/>
    <xf numFmtId="2" fontId="25" fillId="0" borderId="8" xfId="0" applyNumberFormat="1" applyFont="1" applyBorder="1" applyAlignment="1">
      <alignment horizontal="center" vertical="center"/>
    </xf>
    <xf numFmtId="0" fontId="25" fillId="0" borderId="8" xfId="0" applyFont="1" applyBorder="1" applyAlignment="1">
      <alignment horizontal="center" vertical="center"/>
    </xf>
    <xf numFmtId="170" fontId="25" fillId="0" borderId="8" xfId="0" applyNumberFormat="1" applyFont="1" applyBorder="1" applyAlignment="1">
      <alignment horizontal="center" vertical="center"/>
    </xf>
    <xf numFmtId="0" fontId="10" fillId="0" borderId="0" xfId="0" applyFont="1" applyAlignment="1">
      <alignment horizontal="center"/>
    </xf>
    <xf numFmtId="0" fontId="29" fillId="0" borderId="0" xfId="0" applyFont="1"/>
    <xf numFmtId="0" fontId="30" fillId="0" borderId="1" xfId="0" applyFont="1" applyBorder="1" applyAlignment="1">
      <alignment horizontal="center" vertical="center" wrapText="1" readingOrder="1"/>
    </xf>
    <xf numFmtId="0" fontId="4" fillId="2" borderId="2" xfId="0" applyFont="1" applyFill="1" applyBorder="1"/>
    <xf numFmtId="0" fontId="12" fillId="0" borderId="1" xfId="0" applyFont="1" applyBorder="1" applyAlignment="1">
      <alignment horizontal="center" vertical="center" wrapText="1" readingOrder="1"/>
    </xf>
    <xf numFmtId="0" fontId="14" fillId="9" borderId="1" xfId="7" applyFont="1" applyFill="1" applyBorder="1" applyAlignment="1">
      <alignment horizontal="center" vertical="center" wrapText="1" readingOrder="1"/>
    </xf>
    <xf numFmtId="0" fontId="14" fillId="0" borderId="1" xfId="7" applyFont="1" applyBorder="1" applyAlignment="1" applyProtection="1">
      <alignment horizontal="center" vertical="center" wrapText="1" readingOrder="1"/>
      <protection locked="0"/>
    </xf>
    <xf numFmtId="0" fontId="0" fillId="0" borderId="0" xfId="0" applyProtection="1">
      <protection locked="0"/>
    </xf>
    <xf numFmtId="0" fontId="15" fillId="0" borderId="0" xfId="7" applyFont="1" applyProtection="1">
      <protection locked="0"/>
    </xf>
    <xf numFmtId="0" fontId="31" fillId="0" borderId="1" xfId="0" applyFont="1" applyBorder="1" applyAlignment="1" applyProtection="1">
      <alignment horizontal="center" vertical="center" wrapText="1" readingOrder="1"/>
      <protection locked="0"/>
    </xf>
    <xf numFmtId="0" fontId="31" fillId="0" borderId="1" xfId="0" applyFont="1" applyBorder="1" applyAlignment="1" applyProtection="1">
      <alignment horizontal="left" vertical="center" wrapText="1" readingOrder="1"/>
      <protection locked="0"/>
    </xf>
    <xf numFmtId="0" fontId="31" fillId="0" borderId="1" xfId="0" applyFont="1" applyBorder="1" applyAlignment="1" applyProtection="1">
      <alignment vertical="center" wrapText="1" readingOrder="1"/>
      <protection locked="0"/>
    </xf>
    <xf numFmtId="171" fontId="31" fillId="0" borderId="1" xfId="0" applyNumberFormat="1" applyFont="1" applyBorder="1" applyAlignment="1" applyProtection="1">
      <alignment horizontal="right" vertical="center" wrapText="1" readingOrder="1"/>
      <protection locked="0"/>
    </xf>
    <xf numFmtId="0" fontId="12" fillId="0" borderId="1" xfId="0" applyFont="1" applyBorder="1" applyAlignment="1" applyProtection="1">
      <alignment horizontal="center" vertical="center" wrapText="1" readingOrder="1"/>
      <protection locked="0"/>
    </xf>
    <xf numFmtId="0" fontId="12" fillId="0" borderId="31" xfId="7" applyFont="1" applyBorder="1" applyAlignment="1" applyProtection="1">
      <alignment horizontal="center" vertical="center" wrapText="1" readingOrder="1"/>
      <protection locked="0"/>
    </xf>
    <xf numFmtId="0" fontId="14" fillId="0" borderId="0" xfId="7" applyFont="1" applyAlignment="1" applyProtection="1">
      <alignment horizontal="center" vertical="center" wrapText="1" readingOrder="1"/>
      <protection locked="0"/>
    </xf>
    <xf numFmtId="0" fontId="14" fillId="4" borderId="0" xfId="7" applyFont="1" applyFill="1" applyAlignment="1" applyProtection="1">
      <alignment horizontal="center" vertical="center" wrapText="1" readingOrder="1"/>
      <protection locked="0"/>
    </xf>
    <xf numFmtId="0" fontId="32" fillId="0" borderId="1" xfId="0" applyFont="1" applyBorder="1" applyAlignment="1">
      <alignment horizontal="center" vertical="center" wrapText="1" readingOrder="1"/>
    </xf>
    <xf numFmtId="0" fontId="32" fillId="0" borderId="1" xfId="0" applyFont="1" applyBorder="1" applyAlignment="1">
      <alignment horizontal="left" vertical="center" wrapText="1" readingOrder="1"/>
    </xf>
    <xf numFmtId="0" fontId="32" fillId="0" borderId="1" xfId="0" applyFont="1" applyBorder="1" applyAlignment="1">
      <alignment vertical="center" wrapText="1" readingOrder="1"/>
    </xf>
    <xf numFmtId="174" fontId="32" fillId="0" borderId="1" xfId="0" applyNumberFormat="1" applyFont="1" applyBorder="1" applyAlignment="1">
      <alignment horizontal="right" vertical="center" wrapText="1" readingOrder="1"/>
    </xf>
    <xf numFmtId="175" fontId="0" fillId="0" borderId="0" xfId="0" applyNumberFormat="1"/>
    <xf numFmtId="0" fontId="33" fillId="0" borderId="0" xfId="7" applyFont="1" applyAlignment="1" applyProtection="1">
      <alignment horizontal="left" vertical="center" wrapText="1" readingOrder="1"/>
      <protection locked="0"/>
    </xf>
    <xf numFmtId="0" fontId="4" fillId="3" borderId="3" xfId="0" applyFont="1" applyFill="1" applyBorder="1"/>
    <xf numFmtId="0" fontId="11" fillId="10" borderId="2" xfId="0" applyFont="1" applyFill="1" applyBorder="1" applyAlignment="1">
      <alignment horizontal="center"/>
    </xf>
    <xf numFmtId="0" fontId="0" fillId="6" borderId="0" xfId="0" applyFill="1"/>
    <xf numFmtId="169" fontId="0" fillId="6" borderId="0" xfId="6" applyFont="1" applyFill="1"/>
    <xf numFmtId="9" fontId="0" fillId="0" borderId="0" xfId="1" applyFont="1" applyBorder="1" applyAlignment="1">
      <alignment horizontal="center"/>
    </xf>
    <xf numFmtId="168" fontId="10" fillId="0" borderId="8" xfId="6" applyNumberFormat="1" applyFont="1" applyFill="1" applyBorder="1" applyAlignment="1">
      <alignment horizontal="center" vertical="center"/>
    </xf>
    <xf numFmtId="0" fontId="4" fillId="6" borderId="0" xfId="0" applyFont="1" applyFill="1"/>
    <xf numFmtId="0" fontId="0" fillId="0" borderId="15" xfId="0" applyBorder="1"/>
    <xf numFmtId="170" fontId="10" fillId="0" borderId="13" xfId="1" applyNumberFormat="1" applyFont="1" applyFill="1" applyBorder="1" applyAlignment="1">
      <alignment horizontal="center" vertical="center"/>
    </xf>
    <xf numFmtId="168" fontId="10" fillId="0" borderId="9" xfId="6" applyNumberFormat="1" applyFont="1" applyFill="1" applyBorder="1" applyAlignment="1">
      <alignment horizontal="center" vertical="center"/>
    </xf>
    <xf numFmtId="0" fontId="0" fillId="0" borderId="0" xfId="0" applyAlignment="1">
      <alignment vertical="center"/>
    </xf>
    <xf numFmtId="170" fontId="10" fillId="0" borderId="8" xfId="6" applyNumberFormat="1" applyFont="1" applyFill="1" applyBorder="1" applyAlignment="1">
      <alignment horizontal="center" vertical="center"/>
    </xf>
    <xf numFmtId="0" fontId="19" fillId="0" borderId="0" xfId="0" applyFont="1"/>
    <xf numFmtId="0" fontId="28" fillId="0" borderId="0" xfId="0" applyFont="1"/>
    <xf numFmtId="0" fontId="0" fillId="0" borderId="32" xfId="0" applyBorder="1" applyAlignment="1">
      <alignment horizontal="center"/>
    </xf>
    <xf numFmtId="0" fontId="10" fillId="0" borderId="32" xfId="0" applyFont="1" applyBorder="1" applyAlignment="1">
      <alignment horizontal="center"/>
    </xf>
    <xf numFmtId="0" fontId="21" fillId="0" borderId="32" xfId="0" applyFont="1" applyBorder="1" applyAlignment="1">
      <alignment horizontal="center"/>
    </xf>
    <xf numFmtId="0" fontId="0" fillId="0" borderId="32" xfId="0" applyBorder="1"/>
    <xf numFmtId="0" fontId="10" fillId="0" borderId="32" xfId="0" applyFont="1" applyBorder="1"/>
    <xf numFmtId="0" fontId="21" fillId="0" borderId="32" xfId="0" applyFont="1" applyBorder="1"/>
    <xf numFmtId="17" fontId="0" fillId="0" borderId="32" xfId="0" applyNumberFormat="1" applyBorder="1"/>
    <xf numFmtId="173" fontId="36" fillId="0" borderId="33" xfId="0" applyNumberFormat="1" applyFont="1" applyBorder="1"/>
    <xf numFmtId="0" fontId="0" fillId="0" borderId="2" xfId="0" applyBorder="1"/>
    <xf numFmtId="0" fontId="10" fillId="0" borderId="39" xfId="0" applyFont="1" applyBorder="1" applyAlignment="1">
      <alignment vertical="center"/>
    </xf>
    <xf numFmtId="0" fontId="10" fillId="0" borderId="2" xfId="0" applyFont="1" applyBorder="1" applyAlignment="1">
      <alignment vertical="center"/>
    </xf>
    <xf numFmtId="168" fontId="10" fillId="0" borderId="2" xfId="6" applyNumberFormat="1" applyFont="1" applyFill="1" applyBorder="1" applyAlignment="1">
      <alignment horizontal="center" vertical="center"/>
    </xf>
    <xf numFmtId="170" fontId="10" fillId="0" borderId="2" xfId="1" applyNumberFormat="1" applyFont="1" applyFill="1" applyBorder="1" applyAlignment="1">
      <alignment horizontal="center" vertical="center"/>
    </xf>
    <xf numFmtId="2" fontId="25" fillId="0" borderId="2" xfId="0" applyNumberFormat="1" applyFont="1" applyBorder="1" applyAlignment="1">
      <alignment horizontal="center" vertical="center"/>
    </xf>
    <xf numFmtId="170" fontId="10" fillId="0" borderId="2" xfId="6" applyNumberFormat="1" applyFont="1" applyFill="1" applyBorder="1" applyAlignment="1">
      <alignment horizontal="center" vertical="center"/>
    </xf>
    <xf numFmtId="2" fontId="25" fillId="0" borderId="40" xfId="0" applyNumberFormat="1" applyFont="1" applyBorder="1" applyAlignment="1">
      <alignment horizontal="center" vertical="center"/>
    </xf>
    <xf numFmtId="168" fontId="10" fillId="0" borderId="2" xfId="6" applyNumberFormat="1" applyFont="1" applyBorder="1" applyAlignment="1">
      <alignment horizontal="center" vertical="center"/>
    </xf>
    <xf numFmtId="170" fontId="10" fillId="0" borderId="2" xfId="1" applyNumberFormat="1" applyFont="1" applyBorder="1" applyAlignment="1">
      <alignment horizontal="center" vertical="center"/>
    </xf>
    <xf numFmtId="170" fontId="10" fillId="0" borderId="2" xfId="6" applyNumberFormat="1" applyFont="1" applyBorder="1" applyAlignment="1">
      <alignment horizontal="center" vertical="center"/>
    </xf>
    <xf numFmtId="0" fontId="10" fillId="0" borderId="39" xfId="0" applyFont="1" applyBorder="1" applyAlignment="1">
      <alignment vertical="center" wrapText="1"/>
    </xf>
    <xf numFmtId="0" fontId="0" fillId="0" borderId="41" xfId="0" applyBorder="1" applyAlignment="1">
      <alignment horizontal="center" wrapText="1"/>
    </xf>
    <xf numFmtId="0" fontId="0" fillId="0" borderId="42" xfId="0" applyBorder="1" applyAlignment="1">
      <alignment horizontal="center"/>
    </xf>
    <xf numFmtId="0" fontId="10" fillId="0" borderId="42" xfId="0" applyFont="1" applyBorder="1" applyAlignment="1">
      <alignment horizontal="center"/>
    </xf>
    <xf numFmtId="0" fontId="21" fillId="0" borderId="42" xfId="0" applyFont="1" applyBorder="1" applyAlignment="1">
      <alignment horizontal="center"/>
    </xf>
    <xf numFmtId="0" fontId="0" fillId="0" borderId="42" xfId="0" applyBorder="1"/>
    <xf numFmtId="0" fontId="21" fillId="0" borderId="43" xfId="0" applyFont="1" applyBorder="1"/>
    <xf numFmtId="168" fontId="0" fillId="0" borderId="0" xfId="0" applyNumberFormat="1" applyAlignment="1">
      <alignment vertical="center"/>
    </xf>
    <xf numFmtId="2" fontId="25" fillId="0" borderId="21" xfId="0" applyNumberFormat="1" applyFont="1" applyBorder="1" applyAlignment="1">
      <alignment horizontal="center" vertical="center"/>
    </xf>
    <xf numFmtId="0" fontId="21" fillId="0" borderId="30" xfId="0" applyFont="1" applyBorder="1" applyAlignment="1">
      <alignment horizontal="center"/>
    </xf>
    <xf numFmtId="0" fontId="0" fillId="0" borderId="41" xfId="0" applyBorder="1"/>
    <xf numFmtId="0" fontId="10" fillId="0" borderId="42" xfId="0" applyFont="1" applyBorder="1"/>
    <xf numFmtId="0" fontId="21" fillId="0" borderId="42" xfId="0" applyFont="1" applyBorder="1"/>
    <xf numFmtId="168" fontId="0" fillId="0" borderId="42" xfId="0" applyNumberFormat="1" applyBorder="1"/>
    <xf numFmtId="0" fontId="21" fillId="0" borderId="30" xfId="0" applyFont="1" applyBorder="1"/>
    <xf numFmtId="0" fontId="10" fillId="0" borderId="20" xfId="0" applyFont="1" applyBorder="1" applyAlignment="1">
      <alignment vertical="center" wrapText="1"/>
    </xf>
    <xf numFmtId="0" fontId="0" fillId="0" borderId="17" xfId="0" applyBorder="1"/>
    <xf numFmtId="170" fontId="25" fillId="0" borderId="21" xfId="0" applyNumberFormat="1" applyFont="1" applyBorder="1" applyAlignment="1">
      <alignment horizontal="center" vertical="center"/>
    </xf>
    <xf numFmtId="176" fontId="10" fillId="0" borderId="0" xfId="0" applyNumberFormat="1" applyFont="1" applyAlignment="1">
      <alignment vertical="center"/>
    </xf>
    <xf numFmtId="0" fontId="27" fillId="0" borderId="0" xfId="0" applyFont="1"/>
    <xf numFmtId="0" fontId="34" fillId="0" borderId="1" xfId="0" applyFont="1" applyBorder="1" applyAlignment="1">
      <alignment horizontal="center" vertical="center" wrapText="1" readingOrder="1"/>
    </xf>
    <xf numFmtId="0" fontId="35" fillId="0" borderId="0" xfId="0" applyFont="1"/>
    <xf numFmtId="0" fontId="13" fillId="0" borderId="0" xfId="0" applyFont="1"/>
    <xf numFmtId="0" fontId="38" fillId="6" borderId="0" xfId="0" applyFont="1" applyFill="1"/>
    <xf numFmtId="169" fontId="38" fillId="6" borderId="0" xfId="6" applyFont="1" applyFill="1"/>
    <xf numFmtId="0" fontId="24" fillId="0" borderId="30" xfId="0" applyFont="1" applyBorder="1"/>
    <xf numFmtId="2" fontId="25" fillId="0" borderId="24" xfId="0" applyNumberFormat="1" applyFont="1" applyBorder="1" applyAlignment="1">
      <alignment horizontal="center" vertical="center"/>
    </xf>
    <xf numFmtId="0" fontId="21" fillId="0" borderId="16" xfId="0" applyFont="1" applyBorder="1"/>
    <xf numFmtId="14" fontId="39" fillId="0" borderId="32" xfId="0" applyNumberFormat="1" applyFont="1" applyBorder="1"/>
    <xf numFmtId="0" fontId="0" fillId="11" borderId="0" xfId="0" applyFill="1"/>
    <xf numFmtId="169" fontId="4" fillId="0" borderId="2" xfId="6" applyFont="1" applyFill="1" applyBorder="1"/>
    <xf numFmtId="0" fontId="40" fillId="0" borderId="1" xfId="0" applyFont="1" applyBorder="1" applyAlignment="1">
      <alignment horizontal="center" vertical="center" wrapText="1" readingOrder="1"/>
    </xf>
    <xf numFmtId="0" fontId="40" fillId="0" borderId="1" xfId="0" applyFont="1" applyBorder="1" applyAlignment="1">
      <alignment horizontal="left" vertical="center" wrapText="1" readingOrder="1"/>
    </xf>
    <xf numFmtId="0" fontId="40" fillId="0" borderId="1" xfId="0" applyFont="1" applyBorder="1" applyAlignment="1">
      <alignment vertical="center" wrapText="1" readingOrder="1"/>
    </xf>
    <xf numFmtId="174" fontId="40" fillId="0" borderId="1" xfId="0" applyNumberFormat="1" applyFont="1" applyBorder="1" applyAlignment="1">
      <alignment horizontal="right" vertical="center" wrapText="1" readingOrder="1"/>
    </xf>
    <xf numFmtId="174" fontId="30" fillId="0" borderId="1" xfId="0" applyNumberFormat="1" applyFont="1" applyBorder="1" applyAlignment="1">
      <alignment horizontal="right" vertical="center" wrapText="1" readingOrder="1"/>
    </xf>
    <xf numFmtId="0" fontId="4" fillId="12" borderId="2" xfId="0" applyFont="1" applyFill="1" applyBorder="1"/>
    <xf numFmtId="0" fontId="8" fillId="2" borderId="6" xfId="0" applyFont="1" applyFill="1" applyBorder="1" applyAlignment="1">
      <alignment horizontal="center" vertical="center" wrapText="1"/>
    </xf>
    <xf numFmtId="0" fontId="8" fillId="2" borderId="4" xfId="0" applyFont="1" applyFill="1" applyBorder="1" applyAlignment="1">
      <alignment horizontal="center" vertical="center" wrapText="1"/>
    </xf>
    <xf numFmtId="170" fontId="8" fillId="2" borderId="4" xfId="1" applyNumberFormat="1" applyFont="1" applyFill="1" applyBorder="1" applyAlignment="1">
      <alignment horizontal="center" vertical="center" wrapText="1"/>
    </xf>
    <xf numFmtId="170" fontId="8" fillId="2" borderId="12" xfId="1" applyNumberFormat="1" applyFont="1" applyFill="1" applyBorder="1" applyAlignment="1">
      <alignment vertical="center" wrapText="1"/>
    </xf>
    <xf numFmtId="170" fontId="8" fillId="2" borderId="7" xfId="1" applyNumberFormat="1" applyFont="1" applyFill="1" applyBorder="1" applyAlignment="1">
      <alignment vertical="center" wrapText="1"/>
    </xf>
    <xf numFmtId="168" fontId="0" fillId="0" borderId="0" xfId="0" applyNumberFormat="1" applyAlignment="1">
      <alignment horizontal="center"/>
    </xf>
    <xf numFmtId="0" fontId="0" fillId="0" borderId="30" xfId="0" applyBorder="1"/>
    <xf numFmtId="0" fontId="44" fillId="0" borderId="0" xfId="0" applyFont="1"/>
    <xf numFmtId="0" fontId="45" fillId="0" borderId="0" xfId="0" applyFont="1"/>
    <xf numFmtId="0" fontId="46" fillId="0" borderId="0" xfId="0" applyFont="1"/>
    <xf numFmtId="0" fontId="47" fillId="0" borderId="0" xfId="0" applyFont="1"/>
    <xf numFmtId="0" fontId="48" fillId="0" borderId="59" xfId="0" applyFont="1" applyBorder="1"/>
    <xf numFmtId="0" fontId="42" fillId="13" borderId="60" xfId="0" applyFont="1" applyFill="1" applyBorder="1" applyAlignment="1">
      <alignment horizontal="center"/>
    </xf>
    <xf numFmtId="0" fontId="42" fillId="13" borderId="61" xfId="0" applyFont="1" applyFill="1" applyBorder="1" applyAlignment="1">
      <alignment horizontal="center"/>
    </xf>
    <xf numFmtId="0" fontId="42" fillId="13" borderId="62" xfId="0" applyFont="1" applyFill="1" applyBorder="1" applyAlignment="1">
      <alignment horizontal="center"/>
    </xf>
    <xf numFmtId="0" fontId="50" fillId="0" borderId="59" xfId="0" applyFont="1" applyBorder="1" applyAlignment="1">
      <alignment horizontal="center" wrapText="1"/>
    </xf>
    <xf numFmtId="0" fontId="51" fillId="0" borderId="0" xfId="0" applyFont="1"/>
    <xf numFmtId="10" fontId="49" fillId="0" borderId="59" xfId="1" applyNumberFormat="1" applyFont="1" applyBorder="1" applyAlignment="1">
      <alignment horizontal="center" vertical="center"/>
    </xf>
    <xf numFmtId="169" fontId="49" fillId="0" borderId="59" xfId="6" applyFont="1" applyBorder="1" applyAlignment="1">
      <alignment horizontal="center" vertical="center"/>
    </xf>
    <xf numFmtId="0" fontId="52" fillId="6" borderId="59" xfId="0" applyFont="1" applyFill="1" applyBorder="1" applyAlignment="1">
      <alignment horizontal="center"/>
    </xf>
    <xf numFmtId="0" fontId="49" fillId="0" borderId="59" xfId="0" applyFont="1" applyBorder="1" applyAlignment="1">
      <alignment horizontal="left" vertical="center" wrapText="1"/>
    </xf>
    <xf numFmtId="0" fontId="49" fillId="0" borderId="59" xfId="0" applyFont="1" applyBorder="1" applyAlignment="1">
      <alignment horizontal="left" vertical="center" wrapText="1" indent="2"/>
    </xf>
    <xf numFmtId="9" fontId="0" fillId="0" borderId="0" xfId="1" applyFont="1"/>
    <xf numFmtId="10" fontId="47" fillId="0" borderId="0" xfId="0" applyNumberFormat="1" applyFont="1"/>
    <xf numFmtId="0" fontId="53" fillId="2" borderId="63" xfId="0" applyFont="1" applyFill="1" applyBorder="1" applyAlignment="1">
      <alignment horizontal="center"/>
    </xf>
    <xf numFmtId="14" fontId="53" fillId="2" borderId="64" xfId="0" applyNumberFormat="1" applyFont="1" applyFill="1" applyBorder="1" applyAlignment="1">
      <alignment horizontal="center"/>
    </xf>
    <xf numFmtId="0" fontId="55" fillId="0" borderId="65" xfId="0" applyFont="1" applyBorder="1"/>
    <xf numFmtId="0" fontId="55" fillId="0" borderId="65" xfId="0" applyFont="1" applyBorder="1" applyAlignment="1">
      <alignment horizontal="right"/>
    </xf>
    <xf numFmtId="0" fontId="55" fillId="0" borderId="65" xfId="0" applyFont="1" applyBorder="1" applyAlignment="1">
      <alignment horizontal="center" vertical="center"/>
    </xf>
    <xf numFmtId="167" fontId="0" fillId="0" borderId="0" xfId="0" applyNumberFormat="1"/>
    <xf numFmtId="167" fontId="55" fillId="0" borderId="65" xfId="0" applyNumberFormat="1" applyFont="1" applyBorder="1" applyAlignment="1">
      <alignment horizontal="center" vertical="center"/>
    </xf>
    <xf numFmtId="10" fontId="56" fillId="0" borderId="65" xfId="0" applyNumberFormat="1" applyFont="1" applyBorder="1" applyAlignment="1">
      <alignment horizontal="center" vertical="center"/>
    </xf>
    <xf numFmtId="0" fontId="55" fillId="0" borderId="66" xfId="0" applyFont="1" applyBorder="1"/>
    <xf numFmtId="0" fontId="55" fillId="0" borderId="66" xfId="0" applyFont="1" applyBorder="1" applyAlignment="1">
      <alignment horizontal="right"/>
    </xf>
    <xf numFmtId="0" fontId="55" fillId="0" borderId="66" xfId="0" applyFont="1" applyBorder="1" applyAlignment="1">
      <alignment horizontal="center" vertical="center"/>
    </xf>
    <xf numFmtId="10" fontId="56" fillId="0" borderId="66" xfId="0" applyNumberFormat="1" applyFont="1" applyBorder="1" applyAlignment="1">
      <alignment horizontal="center" vertical="center"/>
    </xf>
    <xf numFmtId="0" fontId="55" fillId="0" borderId="67" xfId="0" applyFont="1" applyBorder="1"/>
    <xf numFmtId="0" fontId="56" fillId="0" borderId="68" xfId="0" applyFont="1" applyBorder="1" applyAlignment="1">
      <alignment horizontal="right"/>
    </xf>
    <xf numFmtId="0" fontId="56" fillId="0" borderId="68" xfId="0" applyFont="1" applyBorder="1" applyAlignment="1">
      <alignment horizontal="center" vertical="center"/>
    </xf>
    <xf numFmtId="0" fontId="55" fillId="0" borderId="69" xfId="0" applyFont="1" applyBorder="1"/>
    <xf numFmtId="0" fontId="55" fillId="0" borderId="69" xfId="0" applyFont="1" applyBorder="1" applyAlignment="1">
      <alignment horizontal="right"/>
    </xf>
    <xf numFmtId="0" fontId="55" fillId="0" borderId="69" xfId="0" applyFont="1" applyBorder="1" applyAlignment="1">
      <alignment horizontal="center" vertical="center"/>
    </xf>
    <xf numFmtId="167" fontId="55" fillId="0" borderId="69" xfId="0" applyNumberFormat="1" applyFont="1" applyBorder="1" applyAlignment="1">
      <alignment horizontal="center" vertical="center"/>
    </xf>
    <xf numFmtId="10" fontId="56" fillId="0" borderId="69" xfId="0" applyNumberFormat="1" applyFont="1" applyBorder="1" applyAlignment="1">
      <alignment horizontal="center" vertical="center"/>
    </xf>
    <xf numFmtId="167" fontId="55" fillId="0" borderId="66" xfId="0" applyNumberFormat="1" applyFont="1" applyBorder="1" applyAlignment="1">
      <alignment horizontal="center" vertical="center"/>
    </xf>
    <xf numFmtId="0" fontId="6" fillId="0" borderId="0" xfId="0" applyFont="1"/>
    <xf numFmtId="0" fontId="54" fillId="0" borderId="65" xfId="0" applyFont="1" applyBorder="1" applyAlignment="1">
      <alignment horizontal="center" vertical="center" wrapText="1"/>
    </xf>
    <xf numFmtId="0" fontId="0" fillId="0" borderId="0" xfId="0" applyAlignment="1">
      <alignment wrapText="1"/>
    </xf>
    <xf numFmtId="167" fontId="57" fillId="0" borderId="68" xfId="0" applyNumberFormat="1" applyFont="1" applyBorder="1" applyAlignment="1">
      <alignment horizontal="center" vertical="center"/>
    </xf>
    <xf numFmtId="10" fontId="57" fillId="0" borderId="68" xfId="0" applyNumberFormat="1" applyFont="1" applyBorder="1" applyAlignment="1">
      <alignment horizontal="center" vertical="center"/>
    </xf>
    <xf numFmtId="0" fontId="55" fillId="0" borderId="69" xfId="0" applyFont="1" applyBorder="1" applyAlignment="1">
      <alignment horizontal="left" vertical="top"/>
    </xf>
    <xf numFmtId="0" fontId="55" fillId="14" borderId="74" xfId="0" applyFont="1" applyFill="1" applyBorder="1" applyAlignment="1">
      <alignment horizontal="center" vertical="center"/>
    </xf>
    <xf numFmtId="0" fontId="55" fillId="14" borderId="73" xfId="0" applyFont="1" applyFill="1" applyBorder="1" applyAlignment="1">
      <alignment horizontal="center" vertical="center"/>
    </xf>
    <xf numFmtId="0" fontId="54" fillId="14" borderId="65" xfId="0" applyFont="1" applyFill="1" applyBorder="1" applyAlignment="1">
      <alignment horizontal="center"/>
    </xf>
    <xf numFmtId="0" fontId="54" fillId="14" borderId="71" xfId="0" applyFont="1" applyFill="1" applyBorder="1" applyAlignment="1">
      <alignment horizontal="center"/>
    </xf>
    <xf numFmtId="0" fontId="54" fillId="14" borderId="72" xfId="0" applyFont="1" applyFill="1" applyBorder="1" applyAlignment="1">
      <alignment horizontal="center"/>
    </xf>
    <xf numFmtId="0" fontId="58" fillId="14" borderId="0" xfId="0" applyFont="1" applyFill="1"/>
    <xf numFmtId="166" fontId="55" fillId="14" borderId="75" xfId="0" applyNumberFormat="1" applyFont="1" applyFill="1" applyBorder="1" applyAlignment="1">
      <alignment horizontal="center" vertical="center"/>
    </xf>
    <xf numFmtId="0" fontId="55" fillId="14" borderId="0" xfId="0" applyFont="1" applyFill="1"/>
    <xf numFmtId="0" fontId="55" fillId="14" borderId="69" xfId="0" applyFont="1" applyFill="1" applyBorder="1" applyAlignment="1">
      <alignment horizontal="center" vertical="center"/>
    </xf>
    <xf numFmtId="0" fontId="55" fillId="14" borderId="76" xfId="0" applyFont="1" applyFill="1" applyBorder="1" applyAlignment="1">
      <alignment horizontal="center" vertical="center"/>
    </xf>
    <xf numFmtId="166" fontId="55" fillId="14" borderId="77" xfId="0" applyNumberFormat="1" applyFont="1" applyFill="1" applyBorder="1" applyAlignment="1">
      <alignment horizontal="center" vertical="center"/>
    </xf>
    <xf numFmtId="166" fontId="55" fillId="14" borderId="69" xfId="0" applyNumberFormat="1" applyFont="1" applyFill="1" applyBorder="1" applyAlignment="1">
      <alignment horizontal="center" vertical="center"/>
    </xf>
    <xf numFmtId="0" fontId="54" fillId="14" borderId="71" xfId="0" applyFont="1" applyFill="1" applyBorder="1" applyAlignment="1">
      <alignment horizontal="left"/>
    </xf>
    <xf numFmtId="0" fontId="55" fillId="14" borderId="66" xfId="0" applyFont="1" applyFill="1" applyBorder="1" applyAlignment="1">
      <alignment horizontal="left" vertical="center"/>
    </xf>
    <xf numFmtId="0" fontId="55" fillId="14" borderId="73" xfId="0" applyFont="1" applyFill="1" applyBorder="1" applyAlignment="1">
      <alignment horizontal="left" vertical="center"/>
    </xf>
    <xf numFmtId="0" fontId="55" fillId="14" borderId="69" xfId="0" applyFont="1" applyFill="1" applyBorder="1" applyAlignment="1">
      <alignment horizontal="left" vertical="center"/>
    </xf>
    <xf numFmtId="0" fontId="54" fillId="14" borderId="0" xfId="0" applyFont="1" applyFill="1" applyAlignment="1">
      <alignment horizontal="center"/>
    </xf>
    <xf numFmtId="0" fontId="59" fillId="14" borderId="73" xfId="0" applyFont="1" applyFill="1" applyBorder="1" applyAlignment="1">
      <alignment horizontal="center" vertical="center"/>
    </xf>
    <xf numFmtId="0" fontId="59" fillId="14" borderId="69" xfId="0" applyFont="1" applyFill="1" applyBorder="1" applyAlignment="1">
      <alignment horizontal="center" vertical="center"/>
    </xf>
    <xf numFmtId="0" fontId="60" fillId="0" borderId="0" xfId="0" applyFont="1"/>
    <xf numFmtId="0" fontId="59" fillId="14" borderId="73" xfId="0" applyFont="1" applyFill="1" applyBorder="1" applyAlignment="1">
      <alignment horizontal="left" vertical="center"/>
    </xf>
    <xf numFmtId="166" fontId="0" fillId="0" borderId="0" xfId="0" applyNumberFormat="1"/>
    <xf numFmtId="0" fontId="61" fillId="0" borderId="0" xfId="0" applyFont="1"/>
    <xf numFmtId="0" fontId="4" fillId="2" borderId="0" xfId="0" applyFont="1" applyFill="1"/>
    <xf numFmtId="174" fontId="62" fillId="0" borderId="1" xfId="0" applyNumberFormat="1" applyFont="1" applyBorder="1" applyAlignment="1">
      <alignment horizontal="right" vertical="center" wrapText="1" readingOrder="1"/>
    </xf>
    <xf numFmtId="0" fontId="4" fillId="12" borderId="3" xfId="0" applyFont="1" applyFill="1" applyBorder="1"/>
    <xf numFmtId="165" fontId="14" fillId="0" borderId="0" xfId="7" applyNumberFormat="1" applyFont="1" applyAlignment="1" applyProtection="1">
      <alignment horizontal="center" vertical="center" wrapText="1" readingOrder="1"/>
      <protection locked="0"/>
    </xf>
    <xf numFmtId="178" fontId="55" fillId="14" borderId="0" xfId="0" applyNumberFormat="1" applyFont="1" applyFill="1" applyAlignment="1">
      <alignment horizontal="center" vertical="center"/>
    </xf>
    <xf numFmtId="0" fontId="4" fillId="12" borderId="0" xfId="0" applyFont="1" applyFill="1"/>
    <xf numFmtId="165" fontId="0" fillId="0" borderId="0" xfId="0" applyNumberFormat="1"/>
    <xf numFmtId="179" fontId="0" fillId="0" borderId="0" xfId="17" applyNumberFormat="1" applyFont="1" applyFill="1" applyAlignment="1">
      <alignment vertical="center"/>
    </xf>
    <xf numFmtId="179" fontId="0" fillId="0" borderId="0" xfId="0" applyNumberFormat="1"/>
    <xf numFmtId="0" fontId="63" fillId="0" borderId="1" xfId="0" applyFont="1" applyBorder="1" applyAlignment="1">
      <alignment horizontal="center" vertical="center" wrapText="1" readingOrder="1"/>
    </xf>
    <xf numFmtId="0" fontId="63" fillId="0" borderId="1" xfId="0" applyFont="1" applyBorder="1" applyAlignment="1">
      <alignment horizontal="left" vertical="center" wrapText="1" readingOrder="1"/>
    </xf>
    <xf numFmtId="0" fontId="63" fillId="0" borderId="1" xfId="0" applyFont="1" applyBorder="1" applyAlignment="1">
      <alignment vertical="center" wrapText="1" readingOrder="1"/>
    </xf>
    <xf numFmtId="174" fontId="63" fillId="0" borderId="1" xfId="0" applyNumberFormat="1" applyFont="1" applyBorder="1" applyAlignment="1">
      <alignment horizontal="right" vertical="center" wrapText="1" readingOrder="1"/>
    </xf>
    <xf numFmtId="172" fontId="0" fillId="0" borderId="0" xfId="1" applyNumberFormat="1" applyFont="1"/>
    <xf numFmtId="49" fontId="0" fillId="2" borderId="3" xfId="0" applyNumberFormat="1" applyFill="1" applyBorder="1"/>
    <xf numFmtId="172" fontId="0" fillId="2" borderId="3" xfId="0" applyNumberFormat="1" applyFill="1" applyBorder="1"/>
    <xf numFmtId="172" fontId="0" fillId="2" borderId="11" xfId="0" applyNumberFormat="1" applyFill="1" applyBorder="1"/>
    <xf numFmtId="170" fontId="0" fillId="2" borderId="10" xfId="1" applyNumberFormat="1" applyFont="1" applyFill="1" applyBorder="1" applyAlignment="1">
      <alignment horizontal="center"/>
    </xf>
    <xf numFmtId="0" fontId="0" fillId="2" borderId="0" xfId="0" applyFill="1"/>
    <xf numFmtId="0" fontId="30" fillId="0" borderId="1" xfId="0" applyFont="1" applyBorder="1" applyAlignment="1">
      <alignment horizontal="left" vertical="center" wrapText="1" readingOrder="1"/>
    </xf>
    <xf numFmtId="0" fontId="30" fillId="0" borderId="1" xfId="0" applyFont="1" applyBorder="1" applyAlignment="1">
      <alignment vertical="center" wrapText="1" readingOrder="1"/>
    </xf>
    <xf numFmtId="0" fontId="64" fillId="0" borderId="1" xfId="0" applyFont="1" applyBorder="1" applyAlignment="1">
      <alignment horizontal="center" vertical="center" wrapText="1" readingOrder="1"/>
    </xf>
    <xf numFmtId="0" fontId="64" fillId="0" borderId="1" xfId="0" applyFont="1" applyBorder="1" applyAlignment="1">
      <alignment horizontal="left" vertical="center" wrapText="1" readingOrder="1"/>
    </xf>
    <xf numFmtId="0" fontId="64" fillId="0" borderId="1" xfId="0" applyFont="1" applyBorder="1" applyAlignment="1">
      <alignment vertical="center" wrapText="1" readingOrder="1"/>
    </xf>
    <xf numFmtId="174" fontId="64" fillId="0" borderId="1" xfId="0" applyNumberFormat="1" applyFont="1" applyBorder="1" applyAlignment="1">
      <alignment horizontal="right" vertical="center" wrapText="1" readingOrder="1"/>
    </xf>
    <xf numFmtId="0" fontId="17" fillId="15" borderId="8" xfId="0" applyFont="1" applyFill="1" applyBorder="1" applyAlignment="1">
      <alignment horizontal="center" vertical="center" wrapText="1"/>
    </xf>
    <xf numFmtId="0" fontId="17" fillId="15" borderId="20" xfId="0" applyFont="1" applyFill="1" applyBorder="1" applyAlignment="1">
      <alignment horizontal="center" vertical="center" wrapText="1"/>
    </xf>
    <xf numFmtId="0" fontId="17" fillId="15" borderId="8" xfId="0" applyFont="1" applyFill="1" applyBorder="1" applyAlignment="1">
      <alignment horizontal="center" vertical="center"/>
    </xf>
    <xf numFmtId="0" fontId="16" fillId="15" borderId="22" xfId="0" applyFont="1" applyFill="1" applyBorder="1" applyAlignment="1">
      <alignment horizontal="center" vertical="center" wrapText="1"/>
    </xf>
    <xf numFmtId="0" fontId="16" fillId="15" borderId="9" xfId="0" applyFont="1" applyFill="1" applyBorder="1" applyAlignment="1">
      <alignment horizontal="center" vertical="center" wrapText="1"/>
    </xf>
    <xf numFmtId="168" fontId="20" fillId="15" borderId="8" xfId="6" applyNumberFormat="1" applyFont="1" applyFill="1" applyBorder="1" applyAlignment="1">
      <alignment horizontal="center"/>
    </xf>
    <xf numFmtId="170" fontId="20" fillId="15" borderId="13" xfId="1" applyNumberFormat="1" applyFont="1" applyFill="1" applyBorder="1" applyAlignment="1">
      <alignment horizontal="center"/>
    </xf>
    <xf numFmtId="2" fontId="26" fillId="15" borderId="8" xfId="0" applyNumberFormat="1" applyFont="1" applyFill="1" applyBorder="1" applyAlignment="1">
      <alignment horizontal="center" vertical="center"/>
    </xf>
    <xf numFmtId="170" fontId="20" fillId="15" borderId="8" xfId="6" applyNumberFormat="1" applyFont="1" applyFill="1" applyBorder="1" applyAlignment="1">
      <alignment horizontal="center"/>
    </xf>
    <xf numFmtId="2" fontId="26" fillId="15" borderId="21" xfId="0" applyNumberFormat="1" applyFont="1" applyFill="1" applyBorder="1" applyAlignment="1">
      <alignment horizontal="center" vertical="center"/>
    </xf>
    <xf numFmtId="0" fontId="0" fillId="15" borderId="0" xfId="0" applyFill="1"/>
    <xf numFmtId="0" fontId="16" fillId="15" borderId="8" xfId="0" applyFont="1" applyFill="1" applyBorder="1" applyAlignment="1">
      <alignment horizontal="center" vertical="center" wrapText="1"/>
    </xf>
    <xf numFmtId="0" fontId="37" fillId="15" borderId="2" xfId="0" applyFont="1" applyFill="1" applyBorder="1" applyAlignment="1">
      <alignment horizontal="center" vertical="center" wrapText="1"/>
    </xf>
    <xf numFmtId="0" fontId="16" fillId="0" borderId="22" xfId="0" applyFont="1" applyBorder="1" applyAlignment="1">
      <alignment horizontal="center" vertical="center" wrapText="1"/>
    </xf>
    <xf numFmtId="0" fontId="16" fillId="0" borderId="9" xfId="0" applyFont="1" applyBorder="1" applyAlignment="1">
      <alignment horizontal="center" vertical="center" wrapText="1"/>
    </xf>
    <xf numFmtId="168" fontId="20" fillId="0" borderId="8" xfId="6" applyNumberFormat="1" applyFont="1" applyFill="1" applyBorder="1" applyAlignment="1">
      <alignment horizontal="center"/>
    </xf>
    <xf numFmtId="170" fontId="20" fillId="0" borderId="13" xfId="1" applyNumberFormat="1" applyFont="1" applyFill="1" applyBorder="1" applyAlignment="1">
      <alignment horizontal="center"/>
    </xf>
    <xf numFmtId="2" fontId="26" fillId="0" borderId="8" xfId="0" applyNumberFormat="1" applyFont="1" applyBorder="1" applyAlignment="1">
      <alignment horizontal="center" vertical="center"/>
    </xf>
    <xf numFmtId="170" fontId="20" fillId="0" borderId="8" xfId="6" applyNumberFormat="1" applyFont="1" applyFill="1" applyBorder="1" applyAlignment="1">
      <alignment horizontal="center"/>
    </xf>
    <xf numFmtId="2" fontId="26" fillId="0" borderId="21" xfId="0" applyNumberFormat="1" applyFont="1" applyBorder="1" applyAlignment="1">
      <alignment horizontal="center" vertical="center"/>
    </xf>
    <xf numFmtId="0" fontId="16" fillId="15" borderId="17" xfId="0" applyFont="1" applyFill="1" applyBorder="1" applyAlignment="1">
      <alignment horizontal="center" vertical="center" wrapText="1"/>
    </xf>
    <xf numFmtId="0" fontId="16" fillId="15" borderId="0" xfId="0" applyFont="1" applyFill="1" applyAlignment="1">
      <alignment horizontal="center" vertical="center" wrapText="1"/>
    </xf>
    <xf numFmtId="168" fontId="20" fillId="15" borderId="0" xfId="6" applyNumberFormat="1" applyFont="1" applyFill="1" applyBorder="1" applyAlignment="1">
      <alignment horizontal="center"/>
    </xf>
    <xf numFmtId="170" fontId="20" fillId="15" borderId="0" xfId="1" applyNumberFormat="1" applyFont="1" applyFill="1" applyBorder="1" applyAlignment="1">
      <alignment horizontal="center"/>
    </xf>
    <xf numFmtId="2" fontId="26" fillId="15" borderId="0" xfId="0" applyNumberFormat="1" applyFont="1" applyFill="1" applyAlignment="1">
      <alignment horizontal="center" vertical="center"/>
    </xf>
    <xf numFmtId="170" fontId="20" fillId="15" borderId="0" xfId="6" applyNumberFormat="1" applyFont="1" applyFill="1" applyBorder="1" applyAlignment="1">
      <alignment horizontal="center"/>
    </xf>
    <xf numFmtId="2" fontId="26" fillId="15" borderId="30" xfId="0" applyNumberFormat="1" applyFont="1" applyFill="1" applyBorder="1" applyAlignment="1">
      <alignment horizontal="center" vertical="center"/>
    </xf>
    <xf numFmtId="168" fontId="20" fillId="15" borderId="8" xfId="6" applyNumberFormat="1" applyFont="1" applyFill="1" applyBorder="1" applyAlignment="1">
      <alignment horizontal="center" vertical="center"/>
    </xf>
    <xf numFmtId="170" fontId="20" fillId="15" borderId="13" xfId="1" applyNumberFormat="1" applyFont="1" applyFill="1" applyBorder="1" applyAlignment="1">
      <alignment horizontal="center" vertical="center"/>
    </xf>
    <xf numFmtId="170" fontId="20" fillId="15" borderId="8" xfId="6" applyNumberFormat="1" applyFont="1" applyFill="1" applyBorder="1" applyAlignment="1">
      <alignment horizontal="center" vertical="center"/>
    </xf>
    <xf numFmtId="10" fontId="10" fillId="0" borderId="2" xfId="1" applyNumberFormat="1" applyFont="1" applyBorder="1" applyAlignment="1">
      <alignment horizontal="center" vertical="center"/>
    </xf>
    <xf numFmtId="0" fontId="38" fillId="2" borderId="0" xfId="0" applyFont="1" applyFill="1"/>
    <xf numFmtId="169" fontId="38" fillId="2" borderId="0" xfId="6" applyFont="1" applyFill="1"/>
    <xf numFmtId="168" fontId="10" fillId="2" borderId="2" xfId="6" applyNumberFormat="1" applyFont="1" applyFill="1" applyBorder="1" applyAlignment="1">
      <alignment horizontal="center" vertical="center"/>
    </xf>
    <xf numFmtId="0" fontId="22" fillId="0" borderId="0" xfId="0" applyFont="1" applyAlignment="1">
      <alignment horizontal="center" vertical="center"/>
    </xf>
    <xf numFmtId="0" fontId="16" fillId="15" borderId="22" xfId="0" applyFont="1" applyFill="1" applyBorder="1" applyAlignment="1">
      <alignment horizontal="center" vertical="center" wrapText="1"/>
    </xf>
    <xf numFmtId="0" fontId="16" fillId="15" borderId="9" xfId="0" applyFont="1" applyFill="1" applyBorder="1" applyAlignment="1">
      <alignment horizontal="center" vertical="center" wrapText="1"/>
    </xf>
    <xf numFmtId="0" fontId="65" fillId="16" borderId="48" xfId="0" applyFont="1" applyFill="1" applyBorder="1" applyAlignment="1">
      <alignment horizontal="center" vertical="center" wrapText="1"/>
    </xf>
    <xf numFmtId="0" fontId="65" fillId="16" borderId="25" xfId="0" applyFont="1" applyFill="1" applyBorder="1" applyAlignment="1">
      <alignment horizontal="center" vertical="center" wrapText="1"/>
    </xf>
    <xf numFmtId="0" fontId="5" fillId="15" borderId="14" xfId="0" applyFont="1" applyFill="1" applyBorder="1" applyAlignment="1">
      <alignment horizontal="center" vertical="center" wrapText="1"/>
    </xf>
    <xf numFmtId="0" fontId="5" fillId="15" borderId="5" xfId="0" applyFont="1" applyFill="1" applyBorder="1" applyAlignment="1">
      <alignment horizontal="center" vertical="center" wrapText="1"/>
    </xf>
    <xf numFmtId="0" fontId="17" fillId="15" borderId="26" xfId="0" applyFont="1" applyFill="1" applyBorder="1" applyAlignment="1">
      <alignment horizontal="center" vertical="center" wrapText="1"/>
    </xf>
    <xf numFmtId="0" fontId="17" fillId="15" borderId="27" xfId="0" applyFont="1" applyFill="1" applyBorder="1" applyAlignment="1">
      <alignment horizontal="center" vertical="center" wrapText="1"/>
    </xf>
    <xf numFmtId="0" fontId="5" fillId="15" borderId="57" xfId="0" applyFont="1" applyFill="1" applyBorder="1" applyAlignment="1">
      <alignment horizontal="center" vertical="center" wrapText="1"/>
    </xf>
    <xf numFmtId="0" fontId="5" fillId="15" borderId="25" xfId="0" applyFont="1" applyFill="1" applyBorder="1" applyAlignment="1">
      <alignment horizontal="center" vertical="center" wrapText="1"/>
    </xf>
    <xf numFmtId="0" fontId="5" fillId="15" borderId="29" xfId="0" applyFont="1" applyFill="1" applyBorder="1" applyAlignment="1">
      <alignment horizontal="center" vertical="center" wrapText="1"/>
    </xf>
    <xf numFmtId="0" fontId="17" fillId="15" borderId="4" xfId="0" applyFont="1" applyFill="1" applyBorder="1" applyAlignment="1">
      <alignment horizontal="center" vertical="center" wrapText="1"/>
    </xf>
    <xf numFmtId="0" fontId="17" fillId="15" borderId="19" xfId="0" applyFont="1" applyFill="1" applyBorder="1" applyAlignment="1">
      <alignment horizontal="center" vertical="center" wrapText="1"/>
    </xf>
    <xf numFmtId="0" fontId="17" fillId="15" borderId="28" xfId="0" applyFont="1" applyFill="1" applyBorder="1" applyAlignment="1">
      <alignment horizontal="center" vertical="center" wrapText="1"/>
    </xf>
    <xf numFmtId="0" fontId="17" fillId="15" borderId="9" xfId="0" applyFont="1" applyFill="1" applyBorder="1" applyAlignment="1">
      <alignment horizontal="center" vertical="center" wrapText="1"/>
    </xf>
    <xf numFmtId="0" fontId="17" fillId="15" borderId="58" xfId="0" applyFont="1" applyFill="1" applyBorder="1" applyAlignment="1">
      <alignment horizontal="center" vertical="center" wrapText="1"/>
    </xf>
    <xf numFmtId="173" fontId="0" fillId="0" borderId="15" xfId="0" applyNumberFormat="1" applyBorder="1" applyAlignment="1">
      <alignment horizontal="center" vertical="center"/>
    </xf>
    <xf numFmtId="173" fontId="0" fillId="0" borderId="23" xfId="0" applyNumberFormat="1" applyBorder="1" applyAlignment="1">
      <alignment horizontal="center" vertical="center"/>
    </xf>
    <xf numFmtId="0" fontId="5" fillId="15" borderId="49" xfId="0" applyFont="1" applyFill="1" applyBorder="1" applyAlignment="1">
      <alignment horizontal="center" vertical="center" wrapText="1"/>
    </xf>
    <xf numFmtId="0" fontId="17" fillId="15" borderId="50" xfId="0" applyFont="1" applyFill="1" applyBorder="1" applyAlignment="1">
      <alignment horizontal="center" vertical="center" wrapText="1"/>
    </xf>
    <xf numFmtId="0" fontId="0" fillId="0" borderId="15" xfId="0" applyBorder="1" applyAlignment="1">
      <alignment horizontal="center" vertical="center"/>
    </xf>
    <xf numFmtId="0" fontId="0" fillId="0" borderId="56"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44" xfId="0" applyBorder="1" applyAlignment="1">
      <alignment horizontal="center" wrapText="1"/>
    </xf>
    <xf numFmtId="0" fontId="0" fillId="0" borderId="45" xfId="0" applyBorder="1" applyAlignment="1">
      <alignment horizontal="center" wrapText="1"/>
    </xf>
    <xf numFmtId="0" fontId="0" fillId="0" borderId="46" xfId="0" applyBorder="1" applyAlignment="1">
      <alignment horizontal="center" wrapText="1"/>
    </xf>
    <xf numFmtId="173" fontId="23" fillId="0" borderId="42" xfId="0" applyNumberFormat="1" applyFont="1" applyBorder="1" applyAlignment="1">
      <alignment horizontal="center" vertical="center"/>
    </xf>
    <xf numFmtId="173" fontId="23" fillId="0" borderId="15" xfId="0" applyNumberFormat="1" applyFont="1" applyBorder="1" applyAlignment="1">
      <alignment horizontal="center" vertical="center"/>
    </xf>
    <xf numFmtId="0" fontId="17" fillId="15" borderId="70" xfId="0" applyFont="1" applyFill="1" applyBorder="1" applyAlignment="1">
      <alignment horizontal="center" vertical="center" wrapText="1"/>
    </xf>
    <xf numFmtId="0" fontId="17" fillId="15" borderId="15" xfId="0" applyFont="1" applyFill="1" applyBorder="1" applyAlignment="1">
      <alignment horizontal="center" vertical="center" wrapText="1"/>
    </xf>
    <xf numFmtId="0" fontId="0" fillId="0" borderId="56"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177" fontId="36" fillId="0" borderId="0" xfId="0" applyNumberFormat="1" applyFont="1" applyAlignment="1">
      <alignment horizontal="left" vertical="center"/>
    </xf>
    <xf numFmtId="0" fontId="0" fillId="0" borderId="36" xfId="0" applyBorder="1" applyAlignment="1">
      <alignment horizontal="center" wrapText="1"/>
    </xf>
    <xf numFmtId="0" fontId="0" fillId="0" borderId="37" xfId="0" applyBorder="1" applyAlignment="1">
      <alignment horizontal="center" wrapText="1"/>
    </xf>
    <xf numFmtId="0" fontId="0" fillId="0" borderId="38" xfId="0" applyBorder="1" applyAlignment="1">
      <alignment horizont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7" fillId="0" borderId="47" xfId="0" applyFont="1" applyBorder="1" applyAlignment="1">
      <alignment horizontal="center" vertical="center"/>
    </xf>
    <xf numFmtId="0" fontId="7" fillId="0" borderId="33" xfId="0" applyFont="1" applyBorder="1" applyAlignment="1">
      <alignment horizontal="center" vertical="center"/>
    </xf>
    <xf numFmtId="0" fontId="0" fillId="0" borderId="42" xfId="0" applyBorder="1" applyAlignment="1">
      <alignment horizontal="center" vertical="center"/>
    </xf>
    <xf numFmtId="0" fontId="0" fillId="0" borderId="15" xfId="0" applyBorder="1" applyAlignment="1">
      <alignment horizontal="center"/>
    </xf>
    <xf numFmtId="173" fontId="0" fillId="0" borderId="42" xfId="0" applyNumberFormat="1" applyBorder="1" applyAlignment="1">
      <alignment horizontal="center" vertical="center"/>
    </xf>
    <xf numFmtId="14" fontId="0" fillId="0" borderId="15" xfId="0" applyNumberFormat="1" applyBorder="1" applyAlignment="1">
      <alignment horizontal="center"/>
    </xf>
    <xf numFmtId="0" fontId="0" fillId="0" borderId="18" xfId="0" applyBorder="1" applyAlignment="1">
      <alignment horizontal="center"/>
    </xf>
    <xf numFmtId="22" fontId="19" fillId="0" borderId="0" xfId="0" applyNumberFormat="1" applyFont="1" applyAlignment="1">
      <alignment horizontal="center"/>
    </xf>
    <xf numFmtId="0" fontId="27" fillId="0" borderId="32" xfId="0" applyFont="1" applyBorder="1" applyAlignment="1">
      <alignment horizontal="center"/>
    </xf>
    <xf numFmtId="0" fontId="27" fillId="0" borderId="35" xfId="0" applyFont="1" applyBorder="1" applyAlignment="1">
      <alignment horizontal="center"/>
    </xf>
    <xf numFmtId="0" fontId="0" fillId="0" borderId="33" xfId="0" applyBorder="1" applyAlignment="1">
      <alignment horizontal="center"/>
    </xf>
    <xf numFmtId="173" fontId="0" fillId="0" borderId="33" xfId="0" applyNumberFormat="1" applyBorder="1" applyAlignment="1">
      <alignment horizontal="center"/>
    </xf>
    <xf numFmtId="173" fontId="0" fillId="0" borderId="34" xfId="0" applyNumberFormat="1" applyBorder="1" applyAlignment="1">
      <alignment horizontal="center"/>
    </xf>
    <xf numFmtId="0" fontId="43" fillId="0" borderId="0" xfId="0" applyFont="1" applyAlignment="1">
      <alignment horizontal="left" wrapText="1"/>
    </xf>
    <xf numFmtId="0" fontId="43" fillId="0" borderId="0" xfId="0" applyFont="1" applyAlignment="1">
      <alignment horizontal="left"/>
    </xf>
    <xf numFmtId="0" fontId="42" fillId="13" borderId="61" xfId="0" applyFont="1" applyFill="1" applyBorder="1" applyAlignment="1">
      <alignment horizontal="center"/>
    </xf>
    <xf numFmtId="10" fontId="49" fillId="0" borderId="60" xfId="1" applyNumberFormat="1" applyFont="1" applyBorder="1" applyAlignment="1">
      <alignment horizontal="center" vertical="center"/>
    </xf>
    <xf numFmtId="10" fontId="49" fillId="0" borderId="62" xfId="1" applyNumberFormat="1" applyFont="1" applyBorder="1" applyAlignment="1">
      <alignment horizontal="center" vertical="center"/>
    </xf>
  </cellXfs>
  <cellStyles count="18">
    <cellStyle name="Millares" xfId="17" builtinId="3"/>
    <cellStyle name="Millares 2" xfId="3"/>
    <cellStyle name="Millares 2 6" xfId="4"/>
    <cellStyle name="Millares 3" xfId="9"/>
    <cellStyle name="Millares 3 2" xfId="12"/>
    <cellStyle name="Moneda [0]" xfId="6" builtinId="7"/>
    <cellStyle name="Moneda [0] 3" xfId="15"/>
    <cellStyle name="Normal" xfId="0" builtinId="0"/>
    <cellStyle name="Normal 2" xfId="7"/>
    <cellStyle name="Normal 2 2" xfId="11"/>
    <cellStyle name="Normal 3" xfId="5"/>
    <cellStyle name="Normal 4" xfId="14"/>
    <cellStyle name="Normal 9" xfId="8"/>
    <cellStyle name="Porcentaje" xfId="1" builtinId="5"/>
    <cellStyle name="Porcentaje 2" xfId="10"/>
    <cellStyle name="Porcentaje 3" xfId="16"/>
    <cellStyle name="Porcentual 2" xfId="2"/>
    <cellStyle name="Porcentual 3" xfId="13"/>
  </cellStyles>
  <dxfs count="9">
    <dxf>
      <font>
        <color theme="9"/>
      </font>
      <fill>
        <patternFill>
          <bgColor theme="9"/>
        </patternFill>
      </fill>
    </dxf>
    <dxf>
      <font>
        <color theme="7"/>
      </font>
      <fill>
        <patternFill>
          <bgColor theme="7"/>
        </patternFill>
      </fill>
    </dxf>
    <dxf>
      <font>
        <color rgb="FFC00000"/>
      </font>
      <fill>
        <patternFill>
          <bgColor rgb="FFC00000"/>
        </patternFill>
      </fill>
    </dxf>
    <dxf>
      <font>
        <color theme="9"/>
      </font>
      <fill>
        <patternFill>
          <bgColor theme="9"/>
        </patternFill>
      </fill>
    </dxf>
    <dxf>
      <font>
        <color theme="7"/>
      </font>
      <fill>
        <patternFill>
          <bgColor theme="7"/>
        </patternFill>
      </fill>
    </dxf>
    <dxf>
      <font>
        <color rgb="FFC00000"/>
      </font>
      <fill>
        <patternFill>
          <bgColor rgb="FFC00000"/>
        </patternFill>
      </fill>
    </dxf>
    <dxf>
      <font>
        <color theme="9"/>
      </font>
      <fill>
        <patternFill>
          <bgColor theme="9"/>
        </patternFill>
      </fill>
    </dxf>
    <dxf>
      <font>
        <color theme="7"/>
      </font>
      <fill>
        <patternFill>
          <bgColor theme="7"/>
        </patternFill>
      </fill>
    </dxf>
    <dxf>
      <font>
        <color rgb="FFC00000"/>
      </font>
      <fill>
        <patternFill>
          <bgColor rgb="FFC00000"/>
        </patternFill>
      </fill>
    </dxf>
  </dxfs>
  <tableStyles count="0" defaultTableStyle="TableStyleMedium2" defaultPivotStyle="PivotStyleLight16"/>
  <colors>
    <mruColors>
      <color rgb="FF004A48"/>
      <color rgb="FF039B89"/>
      <color rgb="FF006666"/>
      <color rgb="FF008E8B"/>
      <color rgb="FF00ACA8"/>
      <color rgb="FF235889"/>
      <color rgb="FFF52FDD"/>
      <color rgb="FFFC287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209549</xdr:colOff>
      <xdr:row>0</xdr:row>
      <xdr:rowOff>104775</xdr:rowOff>
    </xdr:from>
    <xdr:to>
      <xdr:col>1</xdr:col>
      <xdr:colOff>419099</xdr:colOff>
      <xdr:row>1</xdr:row>
      <xdr:rowOff>152400</xdr:rowOff>
    </xdr:to>
    <xdr:sp macro="[0]!COMPARAR" textlink="">
      <xdr:nvSpPr>
        <xdr:cNvPr id="2" name="Rectángulo 1">
          <a:extLst>
            <a:ext uri="{FF2B5EF4-FFF2-40B4-BE49-F238E27FC236}">
              <a16:creationId xmlns:a16="http://schemas.microsoft.com/office/drawing/2014/main" id="{00000000-0008-0000-0000-000002000000}"/>
            </a:ext>
          </a:extLst>
        </xdr:cNvPr>
        <xdr:cNvSpPr/>
      </xdr:nvSpPr>
      <xdr:spPr>
        <a:xfrm>
          <a:off x="209549" y="104775"/>
          <a:ext cx="981075" cy="238125"/>
        </a:xfrm>
        <a:prstGeom prst="rect">
          <a:avLst/>
        </a:prstGeom>
        <a:solidFill>
          <a:schemeClr val="accent1"/>
        </a:solidFill>
        <a:ln>
          <a:solidFill>
            <a:schemeClr val="bg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chemeClr val="bg1"/>
              </a:solidFill>
            </a:rPr>
            <a:t>COMPARAR</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142875</xdr:colOff>
      <xdr:row>1</xdr:row>
      <xdr:rowOff>9525</xdr:rowOff>
    </xdr:from>
    <xdr:to>
      <xdr:col>2</xdr:col>
      <xdr:colOff>1562100</xdr:colOff>
      <xdr:row>2</xdr:row>
      <xdr:rowOff>19050</xdr:rowOff>
    </xdr:to>
    <xdr:sp macro="[0]!bloqueo" textlink="">
      <xdr:nvSpPr>
        <xdr:cNvPr id="2" name="Rectángulo 1">
          <a:extLst>
            <a:ext uri="{FF2B5EF4-FFF2-40B4-BE49-F238E27FC236}">
              <a16:creationId xmlns:a16="http://schemas.microsoft.com/office/drawing/2014/main" id="{00000000-0008-0000-0200-000002000000}"/>
            </a:ext>
          </a:extLst>
        </xdr:cNvPr>
        <xdr:cNvSpPr/>
      </xdr:nvSpPr>
      <xdr:spPr>
        <a:xfrm>
          <a:off x="2838450" y="200025"/>
          <a:ext cx="1419225" cy="200025"/>
        </a:xfrm>
        <a:prstGeom prst="rect">
          <a:avLst/>
        </a:prstGeom>
        <a:solidFill>
          <a:schemeClr val="bg1"/>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000">
              <a:solidFill>
                <a:schemeClr val="bg1">
                  <a:lumMod val="85000"/>
                </a:schemeClr>
              </a:solidFill>
              <a:latin typeface="+mn-lt"/>
              <a:ea typeface="+mn-ea"/>
              <a:cs typeface="+mn-cs"/>
            </a:rPr>
            <a:t>TRAER</a:t>
          </a:r>
          <a:r>
            <a:rPr lang="es-CO" sz="1000" baseline="0">
              <a:solidFill>
                <a:schemeClr val="bg1">
                  <a:lumMod val="85000"/>
                </a:schemeClr>
              </a:solidFill>
              <a:latin typeface="+mn-lt"/>
              <a:ea typeface="+mn-ea"/>
              <a:cs typeface="+mn-cs"/>
            </a:rPr>
            <a:t> BLOQ</a:t>
          </a:r>
          <a:r>
            <a:rPr lang="es-CO" sz="1000">
              <a:solidFill>
                <a:schemeClr val="bg1">
                  <a:lumMod val="85000"/>
                </a:schemeClr>
              </a:solidFill>
              <a:latin typeface="+mn-lt"/>
              <a:ea typeface="+mn-ea"/>
              <a:cs typeface="+mn-cs"/>
            </a:rPr>
            <a:t> CONFIS</a:t>
          </a:r>
        </a:p>
      </xdr:txBody>
    </xdr:sp>
    <xdr:clientData/>
  </xdr:twoCellAnchor>
  <xdr:twoCellAnchor>
    <xdr:from>
      <xdr:col>2</xdr:col>
      <xdr:colOff>1333500</xdr:colOff>
      <xdr:row>0</xdr:row>
      <xdr:rowOff>38100</xdr:rowOff>
    </xdr:from>
    <xdr:to>
      <xdr:col>2</xdr:col>
      <xdr:colOff>1457325</xdr:colOff>
      <xdr:row>0</xdr:row>
      <xdr:rowOff>133350</xdr:rowOff>
    </xdr:to>
    <xdr:sp macro="" textlink="">
      <xdr:nvSpPr>
        <xdr:cNvPr id="3" name="Flecha: hacia abajo 2">
          <a:extLst>
            <a:ext uri="{FF2B5EF4-FFF2-40B4-BE49-F238E27FC236}">
              <a16:creationId xmlns:a16="http://schemas.microsoft.com/office/drawing/2014/main" id="{056B0887-3185-4783-9BDB-E1950AAC5614}"/>
            </a:ext>
          </a:extLst>
        </xdr:cNvPr>
        <xdr:cNvSpPr/>
      </xdr:nvSpPr>
      <xdr:spPr>
        <a:xfrm>
          <a:off x="4029075" y="38100"/>
          <a:ext cx="123825" cy="952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85724</xdr:colOff>
      <xdr:row>0</xdr:row>
      <xdr:rowOff>95250</xdr:rowOff>
    </xdr:from>
    <xdr:to>
      <xdr:col>1</xdr:col>
      <xdr:colOff>838200</xdr:colOff>
      <xdr:row>0</xdr:row>
      <xdr:rowOff>381000</xdr:rowOff>
    </xdr:to>
    <xdr:sp macro="[0]!GENERAR_REPORTE" textlink="">
      <xdr:nvSpPr>
        <xdr:cNvPr id="2" name="Rectángulo 1">
          <a:extLst>
            <a:ext uri="{FF2B5EF4-FFF2-40B4-BE49-F238E27FC236}">
              <a16:creationId xmlns:a16="http://schemas.microsoft.com/office/drawing/2014/main" id="{00000000-0008-0000-0600-000002000000}"/>
            </a:ext>
          </a:extLst>
        </xdr:cNvPr>
        <xdr:cNvSpPr/>
      </xdr:nvSpPr>
      <xdr:spPr>
        <a:xfrm>
          <a:off x="85724" y="95250"/>
          <a:ext cx="2143126" cy="285750"/>
        </a:xfrm>
        <a:prstGeom prst="rect">
          <a:avLst/>
        </a:prstGeom>
        <a:solidFill>
          <a:schemeClr val="tx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GENERAR REPORTE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nsolidado%20SPNF%203\HISTO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Lrhenals/gobierno/Gobierno/Cierre97/OPEF%201997%20Cierr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docs.live.net/Users/Sergio%20Mendoza/Downloads/FORMATO%20PLAN%20DE%20ACCION%202019%20INTEGRADO%20FINAL%20(10.10.20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20OFC%20PLANEACI&#211;N%20MAYO%2017%20Act,indicador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5.%20QUINTO%20INFORME%20Jun-Jul%202019\Actividad%202\Macro%20sgto%20Plan%20de%20Acci&#243;n%20MADS%202019%2011.06.2019%20dep%20enero%20mayo.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20OF%20TECNOLOGIAS%20MOD%20PPTAL%20%20sep%201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BOSQUES%20%20A%20SEC%20GRAL%20$$$%20TKS%20ABRIL%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mhcp$/Documents%20and%20Settings/sherreno/Configuraci&#243;n%20local/Archivos%20temporales%20de%20Internet/OLK3/COSTOS%20Y%20RECURSOS%20EDUCACION%20BAS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h-snassa05/mhcp$/Carpetas%20DGPM/ITC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Mh-snassa05/mhcp$/LAR/MEGHA/2005/Plan%20Financiero%202005/BPene27-2000AJUSTE%20IMPO%20DEUDA%20B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Users/smendoza/AppData/Local/Microsoft/Windows/Temporary%20Internet%20Files/Content.Outlook/M5W5DS1B/DINAMICO_OTIC_siac%20ajustado%20abril%2030.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mhcp$/AGL/bono%202002/analisis%20bon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2.%20SEGUNDO%20INFORME%20Mar-Abr%202019\Actividad%204\4.1.%20Alineaci&#243;n%20Plan%20de%20acci&#243;n%20a%20Categor&#237;as%20CAPA\Planes%20de%20Acci&#243;n%20Recopilados\PLAN%20DE%20ACCI&#211;N%20OAP%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Consolidados"/>
      <sheetName val="Sectores"/>
      <sheetName val="Gobierno-Resto"/>
      <sheetName val="Gráficas"/>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CSF"/>
      <sheetName val="Resumen OPEF"/>
      <sheetName val="Resumen MES OP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APUESTAS"/>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15.Julio.2015"/>
      <sheetName val="VICE 1"/>
      <sheetName val="DBBSE 2"/>
      <sheetName val="DAASU 3"/>
      <sheetName val=" DAMCRA 4"/>
      <sheetName val="DGIRH 5"/>
      <sheetName val=" DGOAT 6"/>
      <sheetName val=" DCC 7"/>
      <sheetName val="SUB. EDU 8"/>
      <sheetName val=" OAJ 9"/>
      <sheetName val="OTIC 10"/>
      <sheetName val=" GRP COMUN 11"/>
      <sheetName val="Sria Gral 12"/>
      <sheetName val=" ONV 13"/>
      <sheetName val="OAP 14"/>
      <sheetName val=" OAI 15"/>
      <sheetName val=" OCI 16"/>
      <sheetName val="CONSOLIDADO PPTO 2018"/>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FORTALECIMIENTO INSTITUCIONAL PARA LA IMPLEMENTACIÓN DE LA POLÍTICA NACIONAL PARA LA GESTIÓN INTEGRAL DEL RECURSO HÍDRICO NACIONAL  REC 11</v>
          </cell>
        </row>
        <row r="3">
          <cell r="A3" t="str">
            <v>CONSERVACION DE LA   BIODIVERSIDAD Y LOS SERVICIOS ECOSISTÉMICOS A NIVEL NACIONAL - REC 11</v>
          </cell>
        </row>
        <row r="4">
          <cell r="A4" t="str">
            <v>CONSERVACION DE LA   BIODIVERSIDAD Y LOS SERVICIOS ECOSISTÉMICOS A NIVEL NACIONAL - REC 15</v>
          </cell>
        </row>
        <row r="5">
          <cell r="A5" t="str">
            <v>CONSERVACION DE CUENCAS  HIDROGRAFICAS ABASTECEDORAS DE ACUEDUCTOS MUNICIPALES A NIVEL NACIONAL  FONAM REC 21</v>
          </cell>
        </row>
        <row r="6">
          <cell r="A6" t="str">
            <v>FORMULACION ADMINISTRACION DE LOS  RECURSOS FONAM PARA EL USOS SOSTENIBLE Y PROTECCION DE LAS ESPECIES CITES NACIONAL  -  FONAM REC 20</v>
          </cell>
        </row>
        <row r="7">
          <cell r="A7" t="str">
            <v>FORMULACION ADMINISTRACION DE LOS  RECURSOS FONAM PARA EL USOS SOSTENIBLE Y PROTECCION DE LAS ESPECIES CITES NACIONAL  -  FONAM REC 21</v>
          </cell>
        </row>
        <row r="8">
          <cell r="A8" t="str">
            <v>FORTALECIMIENTO DE LA GESTIÓN AMBIENTAL SECTORIAL URBANA, A NIVEL NACIONAL  - REC 11</v>
          </cell>
        </row>
        <row r="9">
          <cell r="A9" t="str">
            <v>IMPLEMENTACIÓN DE LAS ESTRATEGIAS, INSTRUMENTOS Y RECOMENDACIONES DE LA OCDE EN MATERIA DE GESTION AMBIENTAL A NIVEL NACIONAL REC 11</v>
          </cell>
        </row>
        <row r="10">
          <cell r="A10" t="str">
            <v>FORTALECIMIENTO FORTALECER  DE  LA GESTIÓN AMBIENTAL DEL ESTADO COLOMBIANO SOBRE LAS ZONAS MARINAS Y COSTERAS Y RECURSOS ACUÁTICOS NACIONAL - REC 11</v>
          </cell>
        </row>
        <row r="11">
          <cell r="A11" t="str">
            <v>FORTALECIMIENTO DE LA GESTION DE CAMBIO CLIMATICO EN LA PLANEACION SECTORIAL Y TERRITORIAL NACIONAL REC 11</v>
          </cell>
        </row>
        <row r="12">
          <cell r="A12" t="str">
            <v>GENERACION DE CAPACIDADES PARA EL ADECUADO DESEMPEÑO AMBIENTAL DEL SINA EN EL TERRITORIO NACIONAL - REC 11</v>
          </cell>
        </row>
        <row r="13">
          <cell r="A13" t="str">
            <v>IMPLEMENTACIÓN DE ESTRATEGIAS DE LA POLÍTICA NACIONAL DE EDUCACIÓN AMBIENTAL Y PARTICIPACIÓN HACIA LA GOBERNANZA AMBIENTAL EN COLOMBIA. NACIONAL REC 11</v>
          </cell>
        </row>
        <row r="14">
          <cell r="A14" t="str">
            <v>FORTALECIMIENTO  DE LA GESTION INSTITUCIONAL DE LA SECRETARÍA GENERAL DEL MINISTERIO DE AMBIENTE Y DESARROLLO SOSTENIBLE, BOGOTÁ - REC 11</v>
          </cell>
        </row>
        <row r="15">
          <cell r="A15" t="str">
            <v>FORTALECIMIENTO EN EL CONTROL Y SEGUIMIENTO A LOS COMPROMISOS ADQUIRIDOS EN ESCENARIOS INTERNCIONALES DE LA GSTIN AMBIENTAL. NACIONAL  REC 11</v>
          </cell>
        </row>
        <row r="16">
          <cell r="A16" t="str">
            <v>FORTALECIMIENTO DE LA OFERTA INSTITUCIONAL PARA LA SOSTENIBILIDAD AMBIENTAL DEL TERRITORIO EN EL MARCO DE LOS NEGOCIOS VERDES Y SOSTENIBLES. NACIONAL  REC 11</v>
          </cell>
        </row>
        <row r="17">
          <cell r="A17" t="str">
            <v>FORTALECIMIENTO DE LA OFERTA INSTITUCIONAL PARA LA SOSTENIBILIDAD AMBIENTAL DEL TERRITORIO EN EL MARCO DE LOS NEGOCIOS VERDES Y SOSTENIBLES. NACIONAL  REC 15</v>
          </cell>
        </row>
        <row r="18">
          <cell r="A18" t="str">
            <v>FORTALECIMIENTO DE LA ESTRATEGIA DE TI Y TRANSFORMACION DIGITAL EN EL MINISTERIO DE AMBIENTE Y DESARROLLO  SOSTENIBLE. REC 11</v>
          </cell>
        </row>
        <row r="19">
          <cell r="A19" t="str">
            <v>CONSOLIDACIÓN DEL SISTEMA DE INFORMACIÓN AMBIENTAL SIAC,  COMO EJE CENTRAL DE INFORMACION OFICIAL Y SOPORTE PARA LA TOMA DE DECISIONES A NIVEL REGIONAL Y NACIONAL Y CONOCIMIENTO EN MATERIA AMBIENTAL A NIVEL NACIONAL Y REGIONAL BOGOTA. REC 11</v>
          </cell>
        </row>
        <row r="20">
          <cell r="A20" t="str">
            <v>FORTALECIMIENTO DE LOS PROCESOS DE PLANEACION, EVALUACION Y SEGUIMIENTO A LA GESTION ADELANTADA POR EL SECTOR AMBIENTAL, A NIVEL NACIONAL - REC 11</v>
          </cell>
        </row>
        <row r="21">
          <cell r="A21" t="str">
            <v>IMPLEMENTACIÓN DELA  ESTRATEGIA DE DIVULGACION Y COMUNICACIÓN DE LA INFORMACION AMBIENTAL A NIVEL NACIONAL REC 11</v>
          </cell>
        </row>
        <row r="22">
          <cell r="A22">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VICE 1"/>
      <sheetName val="DBBBSE 2"/>
      <sheetName val="DAASU 3"/>
      <sheetName val="DAMCRA 4"/>
      <sheetName val="DGIRH 5"/>
      <sheetName val="DGOAT 6"/>
      <sheetName val="DCC 7"/>
      <sheetName val="SUB. EDU 8"/>
      <sheetName val=" OAJ 9"/>
      <sheetName val="OTIC 10"/>
      <sheetName val="GR.COM 11"/>
      <sheetName val="Sria Gral 12"/>
      <sheetName val="ONVS 13"/>
      <sheetName val="OAP 14"/>
      <sheetName val="OAI 15"/>
      <sheetName val=" OCI 16"/>
      <sheetName val="CONSOLIDADO PPTO 2018"/>
    </sheetNames>
    <sheetDataSet>
      <sheetData sheetId="0"/>
      <sheetData sheetId="1"/>
      <sheetData sheetId="2"/>
      <sheetData sheetId="3"/>
      <sheetData sheetId="4"/>
      <sheetData sheetId="5"/>
      <sheetData sheetId="6"/>
      <sheetData sheetId="7">
        <row r="2">
          <cell r="A2" t="str">
            <v>No Aplica</v>
          </cell>
        </row>
        <row r="3">
          <cell r="A3" t="str">
            <v>Energías renovables y eficiencia energética</v>
          </cell>
        </row>
        <row r="4">
          <cell r="A4" t="str">
            <v>Transporte multimodal de carga y transporte urbano sostenible</v>
          </cell>
        </row>
        <row r="5">
          <cell r="A5" t="str">
            <v>Construcción sostenible</v>
          </cell>
        </row>
        <row r="6">
          <cell r="A6" t="str">
            <v>Producción agropecuaria en áreas de vocación, ganadería intensiva con sistemas silvopastoriles y uso eficiente del agua</v>
          </cell>
        </row>
        <row r="7">
          <cell r="A7" t="str">
            <v>Gestión integral de la energía en los sectores de minas e hidrocarburos</v>
          </cell>
        </row>
        <row r="8">
          <cell r="A8" t="str">
            <v>Gestión de pasivos ambientales</v>
          </cell>
        </row>
        <row r="9">
          <cell r="A9" t="str">
            <v>Cadenas de valor industriales eficientes</v>
          </cell>
        </row>
        <row r="10">
          <cell r="A10" t="str">
            <v>Turismo sostenible</v>
          </cell>
        </row>
        <row r="11">
          <cell r="A11" t="str">
            <v>Innovación y ecoinnovación</v>
          </cell>
        </row>
        <row r="12">
          <cell r="A12" t="str">
            <v>Vivienda rural sostenible</v>
          </cell>
        </row>
        <row r="13">
          <cell r="A13" t="str">
            <v>Reducción del mercurio en la minería de oro artesanal y de pequeña escala</v>
          </cell>
        </row>
        <row r="14">
          <cell r="A14" t="str">
            <v>Disminución de conflictos socioambientales asociados a la exploración y explotación de hidrocarburos y minerales</v>
          </cell>
        </row>
        <row r="15">
          <cell r="A15" t="str">
            <v>Tratamiento de aguas residuales y reciclaje de residuos sólidos</v>
          </cell>
        </row>
        <row r="16">
          <cell r="A16" t="str">
            <v>Salud ambiental</v>
          </cell>
        </row>
        <row r="17">
          <cell r="A17" t="str">
            <v>Conservación de la diversidad biológica</v>
          </cell>
        </row>
        <row r="18">
          <cell r="A18" t="str">
            <v>Gestión adecuada del Sistema Nacional de Áreas Protegidas (SINAP)</v>
          </cell>
        </row>
        <row r="19">
          <cell r="A19" t="str">
            <v>Reducción de la deforestación</v>
          </cell>
        </row>
        <row r="20">
          <cell r="A20" t="str">
            <v>Restauración de ecosistemas terrestres y marinos</v>
          </cell>
        </row>
        <row r="21">
          <cell r="A21" t="str">
            <v>Política Integrada para el Desarrollo Sostenible de las zonas marinas, costeras e insulares</v>
          </cell>
        </row>
        <row r="22">
          <cell r="A22" t="str">
            <v>Uso de instrumentos económicos y la valoración de la biodiversidad para promover la conservación y la producción sostenible</v>
          </cell>
        </row>
        <row r="23">
          <cell r="A23" t="str">
            <v>Unificación de lineamientos para el ordenamiento integral del territorio</v>
          </cell>
        </row>
        <row r="24">
          <cell r="A24" t="str">
            <v>Formulación e implementación de instrumentos de ordenamiento integral del territorio</v>
          </cell>
        </row>
        <row r="25">
          <cell r="A25" t="str">
            <v>Producción y consumo sostenible, y posconsumo</v>
          </cell>
        </row>
        <row r="26">
          <cell r="A26" t="str">
            <v>Gestión integral de residuos</v>
          </cell>
        </row>
        <row r="27">
          <cell r="A27" t="str">
            <v>Gestión integral de residuos peligrosos</v>
          </cell>
        </row>
        <row r="28">
          <cell r="A28" t="str">
            <v>Negocios verdes</v>
          </cell>
        </row>
        <row r="29">
          <cell r="A29" t="str">
            <v>Fomento a la biotecnología y bioprospección</v>
          </cell>
        </row>
        <row r="30">
          <cell r="A30" t="str">
            <v>Gestión integral de sustancias químicas</v>
          </cell>
        </row>
        <row r="31">
          <cell r="A31" t="str">
            <v>Reducción del consumo de sustancias agotadoras de la capa de ozono</v>
          </cell>
        </row>
        <row r="32">
          <cell r="A32" t="str">
            <v>Manejo integrado de la contaminación, con énfasis en reconversión a tecnologías más limpias</v>
          </cell>
        </row>
        <row r="33">
          <cell r="A33" t="str">
            <v>Gestión integral del recurso hídrico</v>
          </cell>
        </row>
        <row r="34">
          <cell r="A34" t="str">
            <v>Planificación y la gestión ambiental urbana para el mejoramiento del bienestar social</v>
          </cell>
        </row>
        <row r="35">
          <cell r="A35" t="str">
            <v>Gestión de la contaminación del aire</v>
          </cell>
        </row>
        <row r="36">
          <cell r="A36" t="str">
            <v>Gestión integral del suelo</v>
          </cell>
        </row>
        <row r="37">
          <cell r="A37" t="str">
            <v>Política Nacional de Cambio Climático</v>
          </cell>
        </row>
        <row r="38">
          <cell r="A38" t="str">
            <v>Fortalecimiento de las capacidades regionales para consolidar territorios adaptados y bajos en carbono</v>
          </cell>
        </row>
        <row r="39">
          <cell r="A39" t="str">
            <v>Gestión de la información y el conocimiento en cambio climático</v>
          </cell>
        </row>
        <row r="40">
          <cell r="A40" t="str">
            <v>Asuntos internacionales</v>
          </cell>
        </row>
        <row r="41">
          <cell r="A41" t="str">
            <v>Financiación para el cambio climático</v>
          </cell>
        </row>
        <row r="42">
          <cell r="A42" t="str">
            <v>Licenciamiento ambiental</v>
          </cell>
        </row>
        <row r="43">
          <cell r="A43" t="str">
            <v>Generación de información y conocimiento en materia ambiental</v>
          </cell>
        </row>
        <row r="44">
          <cell r="A44" t="str">
            <v>Educación, cultura y participación</v>
          </cell>
        </row>
        <row r="45">
          <cell r="A45" t="str">
            <v>Fortalecimiento de las Corporaciones Autónomas Regionales y las autoridades ambientales urbanas</v>
          </cell>
        </row>
        <row r="46">
          <cell r="A46" t="str">
            <v>Seguimiento a las recomendaciones e instrumentos de la OCDE</v>
          </cell>
        </row>
        <row r="47">
          <cell r="A47" t="str">
            <v>Conocimiento del riesgo de desastre</v>
          </cell>
        </row>
        <row r="48">
          <cell r="A48" t="str">
            <v>Reducción del riesgo de desastre</v>
          </cell>
        </row>
        <row r="49">
          <cell r="A49" t="str">
            <v>Manejo de desastres</v>
          </cell>
        </row>
        <row r="50">
          <cell r="A50" t="str">
            <v>Gestión del conocimiento respecto al proceso de cambio climático y sus impactos</v>
          </cell>
        </row>
        <row r="51">
          <cell r="A51" t="str">
            <v>Planificación del desarrollo para la adaptación al cambio climático</v>
          </cell>
        </row>
        <row r="52">
          <cell r="A52" t="str">
            <v>Apoyar los avances en la planificación del desarrollo, las entidades coordinadoras del PNACC</v>
          </cell>
        </row>
        <row r="53">
          <cell r="A53" t="str">
            <v>Vivienda, ciudad y territorio</v>
          </cell>
        </row>
        <row r="54">
          <cell r="A54" t="str">
            <v>Transporte</v>
          </cell>
        </row>
        <row r="55">
          <cell r="A55" t="str">
            <v>Agricultura</v>
          </cell>
        </row>
        <row r="56">
          <cell r="A56" t="str">
            <v>Justicia y seguridad</v>
          </cell>
        </row>
        <row r="57">
          <cell r="A57" t="str">
            <v>Hacienda y crédito público</v>
          </cell>
        </row>
        <row r="58">
          <cell r="A58" t="str">
            <v>Minas y energía</v>
          </cell>
        </row>
        <row r="59">
          <cell r="A59" t="str">
            <v>Otros</v>
          </cell>
        </row>
        <row r="60">
          <cell r="A60" t="str">
            <v>Todas</v>
          </cell>
        </row>
      </sheetData>
      <sheetData sheetId="8">
        <row r="2">
          <cell r="A2" t="str">
            <v>ADMINISTRACIÓN DEL SISTEMA INTEGRADO DE GESTIÓN</v>
          </cell>
        </row>
        <row r="3">
          <cell r="A3" t="str">
            <v>ADMINISTRACIÓN DEL TALENTO HUMANO</v>
          </cell>
        </row>
        <row r="4">
          <cell r="A4" t="str">
            <v>ATENCIÓN AL CIUDADANO</v>
          </cell>
        </row>
        <row r="5">
          <cell r="A5" t="str">
            <v>CONTRATACIÓN</v>
          </cell>
        </row>
        <row r="6">
          <cell r="A6" t="str">
            <v>EVALUACIÓN INDEPENDIENTE</v>
          </cell>
        </row>
        <row r="7">
          <cell r="A7" t="str">
            <v>FORMULACIÓN Y SEGUIMIENTO DE POLÍTICAS PÚBLICAS AMBIENTALES</v>
          </cell>
        </row>
        <row r="8">
          <cell r="A8" t="str">
            <v>GESTIÓN ADMINISTRATIVA</v>
          </cell>
        </row>
        <row r="9">
          <cell r="A9" t="str">
            <v>GESTIÓN FINANCIERA</v>
          </cell>
        </row>
        <row r="10">
          <cell r="A10" t="str">
            <v>GESTIÓN DE COMUNICACIÓN ESTRATÉGICA</v>
          </cell>
        </row>
        <row r="11">
          <cell r="A11" t="str">
            <v>GESTIÓN ESTRATÉGICA DE TECNOLOGÍAS DE LA INFORMACIÓN</v>
          </cell>
        </row>
        <row r="12">
          <cell r="A12" t="str">
            <v>GESTIÓN DEL DESARROLLO SOSTENIBLE</v>
          </cell>
        </row>
        <row r="13">
          <cell r="A13" t="str">
            <v>GESTIÓN DISCIPLINARIA</v>
          </cell>
        </row>
        <row r="14">
          <cell r="A14" t="str">
            <v>GESTIÓN DOCUMENTAL</v>
          </cell>
        </row>
        <row r="15">
          <cell r="A15" t="str">
            <v>GESTIÓN INTEGRADA DEL PORTAFOLIO DE PLANES, PROGRAMAS Y PROYECTOS</v>
          </cell>
        </row>
        <row r="16">
          <cell r="A16" t="str">
            <v>GESTIÓN JURÍDICA</v>
          </cell>
        </row>
        <row r="17">
          <cell r="A17" t="str">
            <v>INSTRUMENTACIÓN AMBIENTAL</v>
          </cell>
        </row>
        <row r="18">
          <cell r="A18" t="str">
            <v>NEGOCIACIÓN INTERNACIONAL, RECURSOS DE COOPERACIÓN Y BANCA</v>
          </cell>
        </row>
        <row r="19">
          <cell r="A19" t="str">
            <v>SOPORTE TÉCNICO DE TIC GESTIÓN DE SERVICIOS DE INFORMACIÓN Y SOPORTE TECNOLOGÍCO</v>
          </cell>
        </row>
        <row r="20">
          <cell r="A20" t="str">
            <v>TODOS</v>
          </cell>
        </row>
      </sheetData>
      <sheetData sheetId="9">
        <row r="2">
          <cell r="A2">
            <v>1</v>
          </cell>
        </row>
        <row r="3">
          <cell r="A3">
            <v>2</v>
          </cell>
        </row>
        <row r="4">
          <cell r="A4">
            <v>3</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RO_CONTROL"/>
      <sheetName val="EJECUTAR"/>
      <sheetName val="LISTAS"/>
      <sheetName val="GRAFICO_CONTROL"/>
      <sheetName val="FORMATO"/>
      <sheetName val="MENU"/>
      <sheetName val="DBBSE 2"/>
      <sheetName val="DAASU 3"/>
      <sheetName val="DAMCRA 4"/>
      <sheetName val="DGIRH 5"/>
      <sheetName val="DGOAT 6"/>
      <sheetName val="DCC 7"/>
      <sheetName val="SEYP 8"/>
      <sheetName val="OAJ 9"/>
      <sheetName val="OTIC 10"/>
      <sheetName val="GCOM 11"/>
      <sheetName val="SG 12"/>
      <sheetName val="ONVS 13"/>
      <sheetName val="OAP 14"/>
      <sheetName val="OAI 15"/>
      <sheetName val="OCI 16"/>
    </sheetNames>
    <sheetDataSet>
      <sheetData sheetId="0"/>
      <sheetData sheetId="1"/>
      <sheetData sheetId="2">
        <row r="2">
          <cell r="R2">
            <v>1</v>
          </cell>
          <cell r="AU2" t="str">
            <v>NO APLICA</v>
          </cell>
        </row>
        <row r="3">
          <cell r="R3">
            <v>1</v>
          </cell>
          <cell r="AU3" t="str">
            <v>1.Plan Institucional de Archivos de la Entidad ­PINAR</v>
          </cell>
        </row>
        <row r="4">
          <cell r="R4">
            <v>1</v>
          </cell>
          <cell r="AU4" t="str">
            <v>2.Plan Anual de Adquisiciones</v>
          </cell>
        </row>
        <row r="5">
          <cell r="R5">
            <v>2</v>
          </cell>
          <cell r="AU5" t="str">
            <v>3.Plan Anual de Vacantes</v>
          </cell>
        </row>
        <row r="6">
          <cell r="R6">
            <v>2</v>
          </cell>
          <cell r="AU6" t="str">
            <v>4.Plan de Previsión de Recursos Humanos</v>
          </cell>
        </row>
        <row r="7">
          <cell r="R7">
            <v>2</v>
          </cell>
          <cell r="AU7" t="str">
            <v>5.Plan Estratégico de Talento Humano</v>
          </cell>
        </row>
        <row r="8">
          <cell r="R8">
            <v>2</v>
          </cell>
          <cell r="AU8" t="str">
            <v>6.Plan Institucional de Capacitación</v>
          </cell>
        </row>
        <row r="9">
          <cell r="R9">
            <v>2</v>
          </cell>
          <cell r="AU9" t="str">
            <v>7.Plan de Incentivos Institucionales</v>
          </cell>
        </row>
        <row r="10">
          <cell r="R10">
            <v>2</v>
          </cell>
          <cell r="AU10" t="str">
            <v>8.Plan de Trabajo Anual en Seguridad y Salud en el Trabajo</v>
          </cell>
        </row>
        <row r="11">
          <cell r="R11">
            <v>2</v>
          </cell>
          <cell r="AU11" t="str">
            <v>9.Plan Anticorrupción y de Atención al Ciudadano</v>
          </cell>
        </row>
        <row r="12">
          <cell r="R12">
            <v>3</v>
          </cell>
          <cell r="AU12" t="str">
            <v xml:space="preserve">10.Plan Estratégico de Tecnologías de la Información y las Comunicaciones ­ PETI </v>
          </cell>
        </row>
        <row r="13">
          <cell r="R13">
            <v>3</v>
          </cell>
          <cell r="AU13" t="str">
            <v>11.Plan de Tratamiento de Riesgos de Seguridad y Privacidad de la Información</v>
          </cell>
        </row>
        <row r="14">
          <cell r="R14">
            <v>3</v>
          </cell>
          <cell r="AU14" t="str">
            <v>12.Plan de Seguridad y Privacidad de la Información</v>
          </cell>
        </row>
        <row r="15">
          <cell r="R15">
            <v>4</v>
          </cell>
        </row>
        <row r="16">
          <cell r="R16">
            <v>4</v>
          </cell>
        </row>
        <row r="17">
          <cell r="R17">
            <v>4</v>
          </cell>
        </row>
        <row r="18">
          <cell r="R18">
            <v>4</v>
          </cell>
        </row>
        <row r="19">
          <cell r="R19">
            <v>5</v>
          </cell>
        </row>
        <row r="20">
          <cell r="R20">
            <v>5</v>
          </cell>
        </row>
        <row r="21">
          <cell r="R21">
            <v>5</v>
          </cell>
        </row>
        <row r="22">
          <cell r="R22">
            <v>6</v>
          </cell>
        </row>
        <row r="23">
          <cell r="R23">
            <v>1</v>
          </cell>
        </row>
        <row r="24">
          <cell r="R24">
            <v>1</v>
          </cell>
        </row>
        <row r="25">
          <cell r="R25">
            <v>1</v>
          </cell>
        </row>
        <row r="26">
          <cell r="R26">
            <v>1</v>
          </cell>
        </row>
        <row r="27">
          <cell r="R27">
            <v>2</v>
          </cell>
        </row>
        <row r="28">
          <cell r="R28">
            <v>2</v>
          </cell>
        </row>
        <row r="29">
          <cell r="R29">
            <v>2</v>
          </cell>
        </row>
        <row r="30">
          <cell r="R30">
            <v>2</v>
          </cell>
        </row>
        <row r="31">
          <cell r="R31">
            <v>2</v>
          </cell>
        </row>
        <row r="32">
          <cell r="R32">
            <v>3</v>
          </cell>
        </row>
        <row r="33">
          <cell r="R33">
            <v>3</v>
          </cell>
        </row>
        <row r="34">
          <cell r="R34">
            <v>4</v>
          </cell>
        </row>
        <row r="35">
          <cell r="R35">
            <v>4</v>
          </cell>
        </row>
        <row r="36">
          <cell r="R36">
            <v>4</v>
          </cell>
        </row>
        <row r="37">
          <cell r="R37">
            <v>4</v>
          </cell>
        </row>
        <row r="38">
          <cell r="R38">
            <v>4</v>
          </cell>
        </row>
        <row r="39">
          <cell r="R39">
            <v>1</v>
          </cell>
        </row>
        <row r="40">
          <cell r="R40">
            <v>1</v>
          </cell>
        </row>
        <row r="41">
          <cell r="R41">
            <v>1</v>
          </cell>
        </row>
        <row r="42">
          <cell r="R42">
            <v>1</v>
          </cell>
        </row>
        <row r="43">
          <cell r="R43">
            <v>1</v>
          </cell>
        </row>
        <row r="44">
          <cell r="R44">
            <v>1</v>
          </cell>
        </row>
        <row r="45">
          <cell r="R45">
            <v>1</v>
          </cell>
        </row>
        <row r="46">
          <cell r="R46">
            <v>1</v>
          </cell>
        </row>
        <row r="47">
          <cell r="R47">
            <v>1</v>
          </cell>
        </row>
      </sheetData>
      <sheetData sheetId="3"/>
      <sheetData sheetId="4"/>
      <sheetData sheetId="5">
        <row r="1">
          <cell r="F1" t="str">
            <v>MES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Planes"/>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MENU"/>
      <sheetName val="VICE_RN 1"/>
      <sheetName val="DBBSE 2"/>
      <sheetName val="DAASU 3"/>
      <sheetName val="DAMCRA 4"/>
      <sheetName val="DGIRH 5"/>
      <sheetName val="DGOAT 6"/>
      <sheetName val="DCC 7"/>
      <sheetName val="SEYP 8"/>
      <sheetName val="OAJ 9"/>
      <sheetName val="OTIC 10"/>
      <sheetName val="GCOM 11"/>
      <sheetName val="SG 12"/>
      <sheetName val="ONVS 13"/>
      <sheetName val="OAP 14"/>
      <sheetName val="OAI 15"/>
      <sheetName val="OCI 16"/>
      <sheetName val="CONSOLIDADO PPTO 2018"/>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1.       Plan Institucional de Archivos de la Entidad ­PINAR</v>
          </cell>
        </row>
        <row r="2">
          <cell r="A2" t="str">
            <v>2.       Plan Anual de Adquisiciones</v>
          </cell>
        </row>
        <row r="3">
          <cell r="A3" t="str">
            <v>3.       Plan Anual de Vacantes</v>
          </cell>
        </row>
        <row r="4">
          <cell r="A4" t="str">
            <v>4.       Plan de Previsión de Recursos Humanos</v>
          </cell>
        </row>
        <row r="5">
          <cell r="A5" t="str">
            <v>5.       Plan Estratégico de Talento Humano</v>
          </cell>
        </row>
        <row r="6">
          <cell r="A6" t="str">
            <v>6.       Plan Institucional de Capacitación</v>
          </cell>
        </row>
        <row r="7">
          <cell r="A7" t="str">
            <v>7.       Plan de Incentivos Institucionales</v>
          </cell>
        </row>
        <row r="8">
          <cell r="A8" t="str">
            <v>8.       Plan de Trabajo Anual en Seguridad y Salud en el Trabajo</v>
          </cell>
        </row>
        <row r="9">
          <cell r="A9" t="str">
            <v>9.       Plan Anticorrupción y de Atención al Ciudadano</v>
          </cell>
        </row>
        <row r="10">
          <cell r="A10" t="str">
            <v xml:space="preserve">10.   Plan Estratégico de Tecnologías de la Información y las Comunicaciones ­ PETI </v>
          </cell>
        </row>
        <row r="11">
          <cell r="A11" t="str">
            <v>11.   Plan de Tratamiento de Riesgos de Seguridad y Privacidad de la Información</v>
          </cell>
        </row>
        <row r="12">
          <cell r="A12" t="str">
            <v>12.   Plan de Seguridad y Privacidad de la Información</v>
          </cell>
        </row>
        <row r="13">
          <cell r="A13" t="str">
            <v>13.   N/A</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VICE 1"/>
      <sheetName val="DBBBSE 2"/>
      <sheetName val="DAASU 3"/>
      <sheetName val="DAMCRA 4"/>
      <sheetName val="DGIRH 5"/>
      <sheetName val="DGOAT 6"/>
      <sheetName val="DCC 7"/>
      <sheetName val="SUB. EDU 8"/>
      <sheetName val=" OAJ 9"/>
      <sheetName val="OTIC 10"/>
      <sheetName val="GR.COM 11"/>
      <sheetName val="Sria Gral 12"/>
      <sheetName val="ONVS 13"/>
      <sheetName val="OAP 14"/>
      <sheetName val="OAI 15"/>
      <sheetName val=" OCI 16"/>
      <sheetName val="CONSOLIDADO PPTO 2018"/>
    </sheetNames>
    <sheetDataSet>
      <sheetData sheetId="0"/>
      <sheetData sheetId="1"/>
      <sheetData sheetId="2"/>
      <sheetData sheetId="3"/>
      <sheetData sheetId="4"/>
      <sheetData sheetId="5">
        <row r="2">
          <cell r="A2" t="str">
            <v>1. AVANZAR HACIA UN CRECIMIENTO SOSTENIBLE Y BAJO EN CARBONO</v>
          </cell>
        </row>
      </sheetData>
      <sheetData sheetId="6">
        <row r="2">
          <cell r="A2" t="str">
            <v>1.1 Impulsar la transformación de sectores hacia sendas más eficientes y de bajo carbono</v>
          </cell>
        </row>
      </sheetData>
      <sheetData sheetId="7">
        <row r="2">
          <cell r="A2" t="str">
            <v>No Aplica</v>
          </cell>
        </row>
      </sheetData>
      <sheetData sheetId="8">
        <row r="2">
          <cell r="A2" t="str">
            <v>ADMINISTRACIÓN DEL SISTEMA INTEGRADO DE GESTIÓN</v>
          </cell>
        </row>
      </sheetData>
      <sheetData sheetId="9">
        <row r="2">
          <cell r="A2">
            <v>1</v>
          </cell>
        </row>
      </sheetData>
      <sheetData sheetId="10">
        <row r="2">
          <cell r="A2" t="str">
            <v>METROS CUADRADOS</v>
          </cell>
        </row>
        <row r="3">
          <cell r="A3" t="str">
            <v>NÚMERO</v>
          </cell>
        </row>
        <row r="4">
          <cell r="A4" t="str">
            <v>PESOS</v>
          </cell>
        </row>
        <row r="5">
          <cell r="A5" t="str">
            <v>PORCENTAJE</v>
          </cell>
        </row>
        <row r="6">
          <cell r="A6">
            <v>0</v>
          </cell>
        </row>
        <row r="7">
          <cell r="A7">
            <v>0</v>
          </cell>
        </row>
        <row r="8">
          <cell r="A8">
            <v>0</v>
          </cell>
        </row>
      </sheetData>
      <sheetData sheetId="11">
        <row r="2">
          <cell r="A2" t="str">
            <v>APOYO AL MINISTERIO EN LA GESTIÓN DE LA NEGOCIACIÓN Y COOPERACION INTERNACIONALES EN MEDIO AMBIENTE Y DESARROLLO SOSTENIBLE Y LA ESTRATEGIA PARA EL INGRESO DE COLOMBIA A LA OCDE  REC 11    3299-0900-1</v>
          </cell>
        </row>
      </sheetData>
      <sheetData sheetId="12">
        <row r="2">
          <cell r="A2" t="str">
            <v>NO APLICA</v>
          </cell>
        </row>
      </sheetData>
      <sheetData sheetId="13">
        <row r="2">
          <cell r="A2" t="str">
            <v>NO APLICA</v>
          </cell>
        </row>
      </sheetData>
      <sheetData sheetId="14">
        <row r="2">
          <cell r="A2" t="str">
            <v>NO APLICA</v>
          </cell>
        </row>
      </sheetData>
      <sheetData sheetId="15">
        <row r="2">
          <cell r="A2" t="str">
            <v>NO APLICA</v>
          </cell>
        </row>
      </sheetData>
      <sheetData sheetId="16">
        <row r="2">
          <cell r="A2" t="str">
            <v>NO APLICA</v>
          </cell>
        </row>
      </sheetData>
      <sheetData sheetId="17">
        <row r="2">
          <cell r="A2" t="str">
            <v>NO APLICA</v>
          </cell>
        </row>
      </sheetData>
      <sheetData sheetId="18">
        <row r="2">
          <cell r="A2" t="str">
            <v>NO APLICA</v>
          </cell>
        </row>
      </sheetData>
      <sheetData sheetId="19">
        <row r="2">
          <cell r="A2" t="str">
            <v>NO APLICA</v>
          </cell>
        </row>
      </sheetData>
      <sheetData sheetId="20">
        <row r="2">
          <cell r="A2" t="str">
            <v>NO APLICA</v>
          </cell>
        </row>
      </sheetData>
      <sheetData sheetId="21">
        <row r="2">
          <cell r="A2" t="str">
            <v>NO APLICA</v>
          </cell>
        </row>
      </sheetData>
      <sheetData sheetId="22">
        <row r="2">
          <cell r="A2" t="str">
            <v>NO APLICA</v>
          </cell>
        </row>
      </sheetData>
      <sheetData sheetId="23">
        <row r="2">
          <cell r="A2" t="str">
            <v>NO APLICA</v>
          </cell>
        </row>
      </sheetData>
      <sheetData sheetId="24">
        <row r="2">
          <cell r="A2" t="str">
            <v>NO APLICA</v>
          </cell>
        </row>
      </sheetData>
      <sheetData sheetId="25">
        <row r="2">
          <cell r="A2" t="str">
            <v>ECONOMIA</v>
          </cell>
        </row>
      </sheetData>
      <sheetData sheetId="26">
        <row r="2">
          <cell r="A2" t="str">
            <v>Director Asuntos Marinos Costeros y Recursos Acuáticos</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ROS SITUAD.FISCAL- 2000"/>
      <sheetName val="GIROS SITUADO FISCAL - 2001"/>
      <sheetName val="FEC-DNP"/>
      <sheetName val="COSTOS FECODE 04-04-2001"/>
      <sheetName val="Docentes Por Municipio y Fuente"/>
      <sheetName val="Docentes Por Fuente Financiació"/>
      <sheetName val="GOBIERNO Vs. FECODE"/>
      <sheetName val="BOLSA GLOBAL CONCERTADA 25-05"/>
      <sheetName val="COSTOS Vs. BOLSA"/>
      <sheetName val="CUADROS Vs GRAFICA"/>
      <sheetName val="COSTOS 2000 Y 2001-PLAN FINANCI"/>
      <sheetName val="COSTOS 2000 Y 2001- PRESUPUESTO"/>
      <sheetName val="SITUAD. FISC.FEC 96-01-PRESUPU "/>
      <sheetName val="TOTAL SITUADO FISCAL + $250.288"/>
      <sheetName val="SITUAD.FISC.FEC 96-01-PLAN FINA"/>
      <sheetName val="DISTRIBICION DE $784 Y $427"/>
      <sheetName val="TOTAL SITUADO 1996 Vs 2001"/>
      <sheetName val="SITUADO FISCAL 1993 "/>
      <sheetName val="SITUADO FISCAL 1993 A 1998"/>
      <sheetName val="RESUMEN 1996 A 2001 (2)"/>
      <sheetName val="RESUMEN 1996 A 2001"/>
      <sheetName val="SITUADO FISCAL 2001"/>
      <sheetName val="SITUADO FISCAL AFORADO"/>
      <sheetName val="VALOR UN PUNTO 200-9%-2,5%  "/>
      <sheetName val="VALOR UN PUNTO 2001 - 8.75%"/>
      <sheetName val="VALOR UN PUNTO 2000"/>
      <sheetName val="VALOR UN PUNTO INCREMENTO PARCI"/>
      <sheetName val="BOLSA-ACTO LEGISLATIVO  (2)"/>
      <sheetName val="BOLSA-ACTO LEGISLATIVO "/>
      <sheetName val="2ULTIMA VERSION ACTO LEGISL.DNP"/>
      <sheetName val="ULTIMA VERSION ACTO LEGISL.DNP"/>
      <sheetName val="Escenarios todos Munc"/>
      <sheetName val="Escenarios Sin OPS muncipales"/>
      <sheetName val="SITUACION FINANCIERA-ACTUAL"/>
      <sheetName val="SITUACION FINANCIERA 9% Y 2.5%"/>
      <sheetName val="SITUACION FINANCIERA S.F.Compl "/>
      <sheetName val="SITUACION FINANCIERA SIN ACTO"/>
      <sheetName val="SITUACION FINANCIERA CON ACTO"/>
      <sheetName val="DEFICIT DEFINITIVO 31-10-99"/>
      <sheetName val="COSTO 2000 Inc.P.EJECUC.A JUNIO"/>
      <sheetName val="RESUMEN DE COSTOS 2000 Y 2001"/>
      <sheetName val="Hoja1"/>
      <sheetName val="COSTOS 2000 MEN"/>
      <sheetName val="COSTOS 2000-01 EN MILLONES"/>
      <sheetName val="VALOR PUNTO 2001-9%-8.75-2,5%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MENU"/>
      <sheetName val="OCI 16"/>
    </sheetNames>
    <sheetDataSet>
      <sheetData sheetId="0"/>
      <sheetData sheetId="1">
        <row r="2">
          <cell r="B2" t="str">
            <v>IV. Pacto por la sostenibilidad: producir conservando y conservar produciendo</v>
          </cell>
          <cell r="AM2" t="str">
            <v>APLICA</v>
          </cell>
        </row>
        <row r="3">
          <cell r="AM3" t="str">
            <v>NO APLICA</v>
          </cell>
        </row>
        <row r="244">
          <cell r="T244" t="str">
            <v>7.1.1.1.1. El gobierno nacional por medio del Mintic, ha impartido lineamientos para que las entidades del Estado avancen en la implementación del modelo de seguridad y privacidad de la información, el cual presenta un estándar para que las entidades puedan gestionar de manera segura sus activos de información.</v>
          </cell>
        </row>
      </sheetData>
      <sheetData sheetId="2">
        <row r="2">
          <cell r="AE2">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
      <sheetName val="comparativo bonos"/>
      <sheetName val="financ noticias"/>
      <sheetName val="EMBI"/>
      <sheetName val="peru_12"/>
      <sheetName val="grafs"/>
      <sheetName val="spreads bonos Col"/>
      <sheetName val="perfil sep"/>
      <sheetName val="emision bonos"/>
      <sheetName val="calendario"/>
      <sheetName val="2003"/>
      <sheetName val="2002"/>
      <sheetName val="perfil"/>
      <sheetName val="perfil (2)"/>
      <sheetName val="propuestas bancos"/>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MENU"/>
      <sheetName val="OCI 16"/>
    </sheetNames>
    <sheetDataSet>
      <sheetData sheetId="0"/>
      <sheetData sheetId="1">
        <row r="2">
          <cell r="B2" t="str">
            <v>IV. Pacto por la sostenibilidad: producir conservando y conservar produciendo</v>
          </cell>
          <cell r="E2" t="str">
            <v>4.1. Sectores comprometidos con la sostenibilidad y la mitigación del cambio climático</v>
          </cell>
          <cell r="N2" t="str">
            <v>4.1.1.1 Producción agropecuaria con prácticas sostenibles.</v>
          </cell>
          <cell r="Z2" t="str">
            <v>FORTALECIMIENTO INSTITUCIONAL PARA LA IMPLEMENTACIÓN DE LA POLÍTICA NACIONAL PARA LA GESTIÓN INTEGRAL DEL RECURSO HÍDRICO  NACIONAL REC 10  BLOQUEADO</v>
          </cell>
          <cell r="AC2" t="str">
            <v>Dirección Asuntos Ambientales Sectorial Urbano</v>
          </cell>
          <cell r="AF2" t="str">
            <v>NACIONAL</v>
          </cell>
          <cell r="AI2" t="str">
            <v>NO APLICA</v>
          </cell>
          <cell r="AJ2" t="str">
            <v>NO APLICA</v>
          </cell>
          <cell r="AL2" t="str">
            <v>NO APLICA</v>
          </cell>
          <cell r="AN2" t="str">
            <v>I-Proteccion del aire ambiente y del clima</v>
          </cell>
          <cell r="AO2" t="str">
            <v>NO APLICA</v>
          </cell>
          <cell r="AP2">
            <v>0</v>
          </cell>
          <cell r="AR2" t="str">
            <v>ECONOMIA</v>
          </cell>
          <cell r="AW2" t="str">
            <v>NO APLICA</v>
          </cell>
          <cell r="AX2" t="str">
            <v>NO APLICA</v>
          </cell>
          <cell r="AY2" t="str">
            <v>NO APLICA</v>
          </cell>
          <cell r="AZ2" t="str">
            <v>NO APLICA</v>
          </cell>
          <cell r="BA2" t="str">
            <v>NO APLICA</v>
          </cell>
          <cell r="BB2" t="str">
            <v>NO APLICA</v>
          </cell>
          <cell r="BC2" t="str">
            <v>NO APLICA</v>
          </cell>
          <cell r="BD2" t="str">
            <v>NO APLICA</v>
          </cell>
          <cell r="BE2" t="str">
            <v>NO APLICA</v>
          </cell>
          <cell r="BF2" t="str">
            <v>NO APLICA</v>
          </cell>
        </row>
        <row r="3">
          <cell r="B3" t="str">
            <v>XV. Pacto por una gestión pública efectiva</v>
          </cell>
          <cell r="E3" t="str">
            <v>4.2. Biodiversidad y riqueza natural: activos estratégicos de la nación</v>
          </cell>
          <cell r="N3" t="str">
            <v>4.1.1.2 Transporte sostenible.</v>
          </cell>
          <cell r="Z3" t="str">
            <v>FORTALECIMIENTO INSTITUCIONAL PARA LA IMPLEMENTACIÓN DE LA POLÍTICA NACIONAL PARA LA GESTIÓN INTEGRAL DEL RECURSO HÍDRICO  NACIONAL REC 11</v>
          </cell>
          <cell r="AC3" t="str">
            <v>Dirección Asuntos Ambientales Sectorial Urbano</v>
          </cell>
          <cell r="AF3" t="str">
            <v>AMAZONÍA</v>
          </cell>
          <cell r="AI3" t="str">
            <v>TODOS</v>
          </cell>
          <cell r="AJ3" t="str">
            <v>FEMENINO</v>
          </cell>
          <cell r="AL3" t="str">
            <v>TODOS</v>
          </cell>
          <cell r="AN3" t="str">
            <v xml:space="preserve">II-Gestión de Aguas residuales </v>
          </cell>
          <cell r="AO3" t="str">
            <v>1) PGSS - Política para la Gestión Sostenible del Suelo</v>
          </cell>
          <cell r="AP3">
            <v>0</v>
          </cell>
          <cell r="AR3" t="str">
            <v>EFICACIA</v>
          </cell>
          <cell r="AW3" t="str">
            <v>Crecimiento de la deforestación a nivel nacional respecto al año anterior (T)</v>
          </cell>
          <cell r="AX3" t="str">
            <v>Tasa de reciclaje y nueva utilización de residuos</v>
          </cell>
          <cell r="AY3" t="str">
            <v>3451 - Estrategia para el manejo ambiental de la Cuenca Ubaté-Suarez</v>
          </cell>
          <cell r="AZ3" t="str">
            <v>Porcentaje de estaciones que cumplen con el objetivo intermedio III de las guías de calidad del aire de la Organización Mundial de la Salud (OMS) en material particulado inferior a 2.5 micras (PM2.5)</v>
          </cell>
          <cell r="BA3" t="str">
            <v xml:space="preserve">Porcentaje de avance  en el fortalecimiento de las capacidades para el Ministerio de Ambiente y Desarrollo Sostenible para atender los temas conexos con el acceso a recursos biológicos, genéticos y su derivados. </v>
          </cell>
          <cell r="BB3" t="str">
            <v xml:space="preserve">PESCADORES -PARQUE TAYRONA- SANTA MARTA </v>
          </cell>
          <cell r="BC3" t="str">
            <v>Zonificación ambiental que delimite la frontera agrícola y proteja las Áreas de Especial Interés Ambiental AEIA</v>
          </cell>
          <cell r="BD3" t="str">
            <v>Adoptar e implementar medidas necesarias para impedir actividades mineras en zonas protegidas</v>
          </cell>
          <cell r="BE3" t="str">
            <v xml:space="preserve">G28 - Concertar conjuntamente modelos de coordinación entre la autoridad de los pueblos indígenas y Parques Nacionales Naturales de Colombia para la planeación, el manejo y la gestión de las áreas del sistema de Parques Nacionales Naturales de Colombia, relacionadas con territorios colectivos de pueblos indígenas. </v>
          </cell>
          <cell r="BF3" t="str">
            <v xml:space="preserve">Pacto región Pacífico  - Objetivo 4. Mejorar la gestión ambiental de la región fortaleciendo el ordenamiento territorial </v>
          </cell>
        </row>
        <row r="4">
          <cell r="B4" t="str">
            <v>I. Pacto por la legalidad: Seguridad efectiva y  justicia transparente para que todos vivamos con libertad y en democracia</v>
          </cell>
          <cell r="E4" t="str">
            <v>4.3. Colombia resiliente: conocimiento y prevención para la gestión del riesgo de desastres y la adaptación al cambio climático</v>
          </cell>
          <cell r="N4" t="str">
            <v>4.1.1.3 Impulso a las energías renovables no convencionales y a la eficiencia energética.</v>
          </cell>
          <cell r="Z4" t="str">
            <v>FORTALECIMIENTO INSTITUCIONAL PARA LA IMPLEMENTACIÓN DE LA POLÍTICA NACIONAL PARA LA GESTIÓN INTEGRAL DEL RECURSO HÍDRICO  NACIONAL REC 10   SIN BLOQUEO</v>
          </cell>
          <cell r="AC4" t="str">
            <v>Dirección Asuntos Marinos y Costeros</v>
          </cell>
          <cell r="AF4" t="str">
            <v>CARIBE</v>
          </cell>
          <cell r="AI4" t="str">
            <v>ADOLESCENTES</v>
          </cell>
          <cell r="AJ4" t="str">
            <v>LGBTI</v>
          </cell>
          <cell r="AL4" t="str">
            <v>AFROS</v>
          </cell>
          <cell r="AN4" t="str">
            <v xml:space="preserve">III-Gestión de residuos </v>
          </cell>
          <cell r="AO4" t="str">
            <v>2) PNGIBSE - Política Nacional para la gestión integral de la biodiversidad y sus servicios ecosistémicos.</v>
          </cell>
          <cell r="AR4" t="str">
            <v>EFICIENCIA</v>
          </cell>
          <cell r="AW4" t="str">
            <v>Porcentaje de avance del Plan Acción sectorial Ambiental de Mercurio </v>
          </cell>
          <cell r="AX4" t="str">
            <v>Residuos peligrosos y especiales sujetos a gestión posconsumo</v>
          </cell>
          <cell r="AY4" t="str">
            <v>3667 - Lineamientos de política para la reducción del riesgo ante amenaza por flujo de lodo (avalancha) en el volcán nevado del Huila.</v>
          </cell>
          <cell r="AZ4" t="str">
            <v>Porcentaje de estaciones que cumplen con el objetivo intermedio III de las guías de calidad del aire de la Organización Mundial de la Salud (OMS) en material particulado inferior a 10 micras (PM10)</v>
          </cell>
          <cell r="BA4" t="str">
            <v>Porcentaje de avance en la formulación de una estrategia para posicionar la bioeconomía dentro de las Comisiones Regionales de Competitividad y los CODECTI, bajo las directrices del Comité Ejecutivo del SNCCTI</v>
          </cell>
          <cell r="BB4" t="str">
            <v>RIO ATRATO</v>
          </cell>
          <cell r="BC4" t="str">
            <v xml:space="preserve">Hectáreas en proceso de restauración afectadas con cultivos de uso ilícito </v>
          </cell>
          <cell r="BD4" t="str">
            <v xml:space="preserve">Ajustar los estándares de calidad de aire según recomendaciones de OMS </v>
          </cell>
          <cell r="BE4" t="str">
            <v>G29 - Parques Nacionales Naturales con un representante de cada uno de los comités de seguimiento establecidos en las consultas previas, presentará en el marco de la MPC y la CNTI un informe anual sobre el estado de cumplimiento de los acuerdos protocolizados en las consultas previas para la declaratoria de las áreas de parques nacionales y el estado de implementación de los Regímenes Especiales de Manejo (REM).</v>
          </cell>
          <cell r="BF4" t="str">
            <v>Pacto región Caribe  - Objetivo 2. Garantizar el acceso y la calidad de los servicios públicos de primera necesidad que respondan a las particularidades geográficas de la región y proteger los ecosistemas</v>
          </cell>
        </row>
        <row r="5">
          <cell r="B5" t="str">
            <v>II. Pacto por el emprendimiento, la formalización y la productividad: una economía dinámica, incluyente y sostenible que potencie todos nuestros talentos.</v>
          </cell>
          <cell r="E5" t="str">
            <v>4.4. Instituciones ambientales modernas, apropiación social de la biodiversidad y manejo efectivo de los conflictos socioambientales</v>
          </cell>
          <cell r="N5" t="str">
            <v>4.1.1.4 Reconversión tecnológica para una industria sostenible y baja en carbono.</v>
          </cell>
          <cell r="Z5" t="str">
            <v>FORTALECIMIENTO DE LA GESTIÓN AMBIENTAL SECTORIAL URBANA, A NIVEL NACIONAL  - REC 10 BLOQUEADO</v>
          </cell>
          <cell r="AC5" t="str">
            <v>Dirección Bosques, Biodiversidad y Servicios Ecosistémicos</v>
          </cell>
          <cell r="AF5" t="str">
            <v>CENTRAL</v>
          </cell>
          <cell r="AI5" t="str">
            <v>DESPLAZADOS</v>
          </cell>
          <cell r="AJ5" t="str">
            <v>MASCULINO</v>
          </cell>
          <cell r="AL5" t="str">
            <v>INDÍGENA</v>
          </cell>
          <cell r="AN5" t="str">
            <v xml:space="preserve">IV-Protección y remediación del suelo, las aguas subterráneas y las aguas superficiales </v>
          </cell>
          <cell r="AO5" t="str">
            <v>3) PNHIC - Política Nacional para Humedales Interiores de Colombia</v>
          </cell>
          <cell r="AR5" t="str">
            <v>EQUIDAD</v>
          </cell>
          <cell r="AW5" t="str">
            <v>Reducción acumulada de las emisiones de Gases Efecto Invernadero, con respecto al escenario de referencia nacional*(T)</v>
          </cell>
          <cell r="AX5" t="str">
            <v>Puntos de monitoreo con Índice de Calidad de Agua (ICA) malo**</v>
          </cell>
          <cell r="AY5" t="str">
            <v>3739 - Estrategia de Desarrollo Integral de la región del Catatumbo</v>
          </cell>
          <cell r="AZ5" t="str">
            <v>Porcentaje de puntos de monitoreo con categoría buena o aceptable del Índice de Calidad de Agua (ICA)</v>
          </cell>
          <cell r="BA5" t="str">
            <v>Porcentaje de avance en la elaboración del marco conceptual para la elaboración de una cuenta satélite para la bioeconomía</v>
          </cell>
          <cell r="BB5" t="str">
            <v xml:space="preserve">PÁRAMO PISBA </v>
          </cell>
          <cell r="BC5" t="str">
            <v xml:space="preserve">Opciones de generación de ingresos e Incentivos para las comunidades que colindan o viven en areas de manejo ambiental especial de acuerdo a las restricciones ambientales y la aptitud de uso del suelo 
(programa de reasentamiento, recuperación comunitaria de bosques, PSA, sistemas de producción alimentaria sostenibles y silvopastoriles, etc) </v>
          </cell>
          <cell r="BD5" t="str">
            <v>Apoyar a MinVivienda en expedición de decreto sobre estándares mínimos operacionales en gestión de residuos</v>
          </cell>
          <cell r="BE5" t="str">
            <v xml:space="preserve">G31 - Diseñar de manera concertada con las autoridades indígenas instrumentos orientadores de la planeación ambiental de los territorios indígenas y los mecanismos de articulación con los instrumentos de ordenamiento y planeación de los gobiernos territoriales y entidades del Sistema Nacional Ambiental SINA. </v>
          </cell>
          <cell r="BF5" t="str">
            <v xml:space="preserve">Pacto región Caribe  - Objetivo 3. Promover la inclusión social y la equidad </v>
          </cell>
        </row>
        <row r="6">
          <cell r="B6" t="str">
            <v>III. Pacto por la equidad: política social moderna centrada en la familia, eficiente, de calidad y conectada a mercados</v>
          </cell>
          <cell r="G6">
            <v>2</v>
          </cell>
          <cell r="N6" t="str">
            <v>4.1.1.5 Provisión de edificaciones e infraestructura sostenible.</v>
          </cell>
          <cell r="Z6" t="str">
            <v>FORTALECIMIENTO DE LA GESTIÓN AMBIENTAL SECTORIAL URBANA, A NIVEL NACIONAL  - SIN BLOQUEO</v>
          </cell>
          <cell r="AC6" t="str">
            <v>Dirección Cambio Climático Y  Gestión del  Riesgo</v>
          </cell>
          <cell r="AF6" t="str">
            <v>EJE CAFETERO Y ANTIOQUIA</v>
          </cell>
          <cell r="AI6" t="str">
            <v>DESVINCULADOS GRUPOS ARMADOS</v>
          </cell>
          <cell r="AJ6" t="str">
            <v>TODOS</v>
          </cell>
          <cell r="AL6" t="str">
            <v>PALENQUERO</v>
          </cell>
          <cell r="AN6" t="str">
            <v xml:space="preserve">V-Reducción de residuos y vibraciones  </v>
          </cell>
          <cell r="AO6" t="str">
            <v>4) PNEA - Política Nacional de Educación Ambiental – SINA</v>
          </cell>
          <cell r="AR6" t="str">
            <v>SOSTENIBILIDAD AMBIENTAL</v>
          </cell>
          <cell r="AX6" t="str">
            <v>Porcentaje de estaciones de calidad del aire que registran concentraciones anuales por debajo de 30 μg/m3 de partículas inferiores a 10 micras (PM10)***</v>
          </cell>
          <cell r="AY6" t="str">
            <v>3744 - Política portuaria para un país más moderno</v>
          </cell>
          <cell r="AZ6" t="str">
            <v>Porcentaje de subzonas hidrográficas con Índice de Uso del Agua (IUA) muy alto o crítico</v>
          </cell>
          <cell r="BA6" t="str">
            <v xml:space="preserve">Número de expediciones científicas con fines de bioprospección en zonas continentales y marinas con alta concentración de biodiversidad realizadas </v>
          </cell>
          <cell r="BB6" t="str">
            <v xml:space="preserve">PLANTA DE TRARAMIENTO DE RESIDUOS SÓLIDOS DE GARAGOA </v>
          </cell>
          <cell r="BD6" t="str">
            <v>Asegurar la implementación de planes de manejo de cuencas y su integración a planes de uso del suelo</v>
          </cell>
          <cell r="BE6" t="str">
            <v>G32 - Definir e implementar conjuntamente una estrategia integral de gestión de recursos para la protección, conservación, restauración y cuidado de las áreas estratégicas de sensibilidad ambiental y ecológica de los territorios indígenas.</v>
          </cell>
          <cell r="BF6" t="str">
            <v>Pacto región Caribe  - Objetivo 4. Desarrollar el potencial productivo agropecuario, cultural y turístico en conjunto con la investigación en ciencia y tecnología y el desarrollo ambiental sostenible</v>
          </cell>
        </row>
        <row r="7">
          <cell r="B7" t="str">
            <v>V. Pacto por la Ciencia, la Tecnología y la Innovación: un sistema para construir el conocimiento de la Colombia del futuro</v>
          </cell>
          <cell r="N7" t="str">
            <v>4.1.1.6 Compromiso sectorial con la mitigación del cambio climático.</v>
          </cell>
          <cell r="Z7" t="str">
            <v>FORTALECIMIENTO DE LA GESTIÓN AMBIENTAL SECTORIAL URBANA, A NIVEL NACIONAL  - REC 11</v>
          </cell>
          <cell r="AC7" t="str">
            <v>Dirección de Gestión Integral del Recurso Hídrico</v>
          </cell>
          <cell r="AF7" t="str">
            <v>LLANOS/ORINOQUIA</v>
          </cell>
          <cell r="AI7" t="str">
            <v>DISCAPACITADOS</v>
          </cell>
          <cell r="AL7" t="str">
            <v>RAIZAL</v>
          </cell>
          <cell r="AN7" t="str">
            <v xml:space="preserve">VI-Protección de la Biodiversidad y de los paisajes </v>
          </cell>
          <cell r="AO7" t="str">
            <v>5) PNAOCI - Política nacional ambiental para el desarrollo sostenible de los espacios oceánicos y las zonas costeras e insulares de Colombia</v>
          </cell>
          <cell r="AR7" t="str">
            <v>VALORACIÓN DE COSTOS AMBIENTALES</v>
          </cell>
          <cell r="AX7" t="str">
            <v>Áreas bajo esquemas de Pagos por Servicios Ambientales (PSA) e incentivos a la conservación</v>
          </cell>
          <cell r="AY7" t="str">
            <v>3758 - Plan para restablecer la navegabilidad del río Magdalena</v>
          </cell>
          <cell r="AZ7" t="str">
            <v>Planes de Ordenación y Manejo de Cuencas Hidrográficas (POMCA) formulados en el territorio nacional</v>
          </cell>
          <cell r="BA7" t="str">
            <v xml:space="preserve">Porcentaje de avance de la construcción de un portafolio nacional de productos BIO de alto valor agregado, con base en avances existentes. </v>
          </cell>
          <cell r="BB7" t="str">
            <v>SANTURBÁN</v>
          </cell>
          <cell r="BD7" t="str">
            <v>Desarrollar instrumentos económicos para incentivar reciclaje de papel</v>
          </cell>
          <cell r="BE7" t="str">
            <v>G33 - Diseñar, formular e implementar de manera concertada con las organizaciones de los pueblos indígenas un programa de restauración, conservación de ecosistemas y medidas de adaptación y mitigación al cambio climático para los territorios indígenas de acuerdo a la cosmovisión de cada pueblo.</v>
          </cell>
          <cell r="BF7" t="str">
            <v xml:space="preserve">Pacto Seaflower Region - Objetivo 1. Mejorar la provisión de servicios públicos, en especial saneamiento básico, residuos, agua potable, energía y conectividad </v>
          </cell>
        </row>
        <row r="8">
          <cell r="B8" t="str">
            <v>VI. Pacto por el transporte y la logística para la competitividad y la integración regional.</v>
          </cell>
          <cell r="N8" t="str">
            <v>4.1.2.1 Mejor calidad del aire para proteger la salud.</v>
          </cell>
          <cell r="Z8" t="str">
            <v>FORTALECIMIENTO DE LA OFERTA INSTITUCIONAL PARA LA SOSTENIBILIDAD AMBIENTAL DEL TERRITORIO EN EL MARCO DE LOS NEGOCIOS VERDES Y SOSTENIBLES. NIVEL  NACIONAL REC 10 BOQUEADO</v>
          </cell>
          <cell r="AC8" t="str">
            <v>Dirección de Ordenamiento Ambiental Territorial -SINA</v>
          </cell>
          <cell r="AF8" t="str">
            <v>OCEANOS</v>
          </cell>
          <cell r="AI8" t="str">
            <v>JÓVENES</v>
          </cell>
          <cell r="AL8" t="str">
            <v>RROM</v>
          </cell>
          <cell r="AN8" t="str">
            <v>VII-Protección contra la radiación (excepto seguridad extrema)</v>
          </cell>
          <cell r="AO8" t="str">
            <v>6) PGAU -Política Gestión Ambiental Urbana</v>
          </cell>
          <cell r="AX8" t="str">
            <v>Porcentaje de ecosistemas o unidades de análisis ecosistémicas no representados o subrepresentados incluidos en el SINAP en el cuatrienio</v>
          </cell>
          <cell r="AY8" t="str">
            <v>3762 - Lineamientos de política para el desarrollo de Proyectos de interés nacional y estratégicos (PINES)</v>
          </cell>
          <cell r="AZ8" t="str">
            <v>Planes de Ordenación y Manejo de Cuencas Hidrográficas (POMCA) en implementación en el territorio nacional</v>
          </cell>
          <cell r="BA8" t="str">
            <v>Número de departamentos implementando proyectos de Turismo Científico de Naturaleza.</v>
          </cell>
          <cell r="BB8" t="str">
            <v>DEFORESTACIÓN AMAZONÍA</v>
          </cell>
          <cell r="BD8" t="str">
            <v xml:space="preserve">Desarrollar plan coordinado para reducir deforestación proveniente de ganadería 
</v>
          </cell>
          <cell r="BE8" t="str">
            <v>G34 - En el marco del programa nacional de Pago por Servicios Ambientales el Ministerio de Ambiente y Desarrollo Sostenible, con el
apoyo de las entidades del Sistema Nacional y Ambiental, apoyarán el diseño concertado del programa de Pago por Servicios Ambientales para la preservación, restauración y conservación de páramos, bosques, selvas y zonas estratégicas de los territorios indígenas, desde las cosmovisiones de los pueblos indígenas, y promoviendo su implementación.</v>
          </cell>
          <cell r="BF8" t="str">
            <v xml:space="preserve">Pacto Seaflower Region - Objetivo 2. Implementar medidas de adaptación al cambio climático y promover el cuidado del ambiente teniendo en cuenta la protección al ecosistema y el uso de fuentes de energía alternativas </v>
          </cell>
        </row>
        <row r="9">
          <cell r="B9" t="str">
            <v>VIII. Pacto por la calidad y eficiencia de servicios públicos: agua y energía para promover la competitividad y el bienestar de todos</v>
          </cell>
          <cell r="N9" t="str">
            <v>4.1.2.2 Reducción de la presión y mejoramiento de la calidad del recurso hídrico.</v>
          </cell>
          <cell r="Z9" t="str">
            <v>FORTALECIMIENTO DE LA OFERTA INSTITUCIONAL PARA LA SOSTENIBILIDAD AMBIENTAL DEL TERRITORIO EN EL MARCO DE LOS NEGOCIOS VERDES Y SOSTENIBLES. NIVEL  NACIONAL REC 10 SIN BLOQUEO</v>
          </cell>
          <cell r="AC9" t="str">
            <v>Grupo de Comunicaciones</v>
          </cell>
          <cell r="AF9" t="str">
            <v>PACIFICO</v>
          </cell>
          <cell r="AI9" t="str">
            <v>NIÑOS</v>
          </cell>
          <cell r="AL9" t="str">
            <v>NEGROS</v>
          </cell>
          <cell r="AN9" t="str">
            <v xml:space="preserve">VIII-Investigación y desarrollo para la protección del medio ambiente </v>
          </cell>
          <cell r="AO9" t="str">
            <v>7) PPCCA -Política de Prevención y Control de la Contaminación del Aire</v>
          </cell>
          <cell r="AX9" t="str">
            <v>Negocios verdes verificados</v>
          </cell>
          <cell r="AY9" t="str">
            <v>3797 - Política para el desarrollo integral de la Orinoquia: Altillanura- fase1.</v>
          </cell>
          <cell r="AZ9" t="str">
            <v>Porcentaje de residuos sólidos efectivamente aprovechados</v>
          </cell>
          <cell r="BA9" t="str">
            <v>Porcentaje de avance en el proceso de ratificación del protocolo de Nagoya</v>
          </cell>
          <cell r="BB9" t="str">
            <v>MANDE NORTE</v>
          </cell>
          <cell r="BD9" t="str">
            <v xml:space="preserve">Diseñar Programa de Prevención de Accidentes Mayores en Colombia
</v>
          </cell>
          <cell r="BE9" t="str">
            <v>G36  - Recogido en la propuesta G32</v>
          </cell>
          <cell r="BF9" t="str">
            <v xml:space="preserve">Pacto para la región central - Objetivo 3. Proteger la fábrica natural de agua del país </v>
          </cell>
        </row>
        <row r="10">
          <cell r="B10" t="str">
            <v>IX. Pacto por los recursos mineroenergéticos para el crecimiento sostenible y la expansión de oportunidades.</v>
          </cell>
          <cell r="N10" t="str">
            <v>4.1.2.3 Gestión de pasivos ambientales y del suelo.</v>
          </cell>
          <cell r="Z10" t="str">
            <v>FORTALECIMIENTO DE LA OFERTA INSTITUCIONAL PARA LA SOSTENIBILIDAD AMBIENTAL DEL TERRITORIO EN EL MARCO DE LOS NEGOCIOS VERDES Y SOSTENIBLES. NIVEL  NACIONAL REC 11</v>
          </cell>
          <cell r="AC10" t="str">
            <v>Oficina de Asuntos Internacionales</v>
          </cell>
          <cell r="AF10" t="str">
            <v>SANTANDERESERES</v>
          </cell>
          <cell r="AI10" t="str">
            <v>TERCERA EDAD</v>
          </cell>
          <cell r="AN10" t="str">
            <v xml:space="preserve">IX-Otras actividades de protección del medio ambiente </v>
          </cell>
          <cell r="AO10" t="str">
            <v>8) RESPEL -Política Ambiental para la Gestión Integral de Residuos o Desechos Peligrosos</v>
          </cell>
          <cell r="AX10" t="str">
            <v>Áreas bajo sistemas sostenibles de conservación (restauración*, sistemas agroforestales, manejo forestal sostenible)</v>
          </cell>
          <cell r="AY10" t="str">
            <v>3799 - Estrategia para el desarrollo integral del departamento del Cauca</v>
          </cell>
          <cell r="AZ10" t="str">
            <v>Miles de hectáreas de áreas protegidas</v>
          </cell>
          <cell r="BA10" t="str">
            <v>Porcentaje de avance en el proceso de reglamentación NO CITES</v>
          </cell>
          <cell r="BB10" t="str">
            <v xml:space="preserve"> POLÍTICA DE CARBÓN</v>
          </cell>
          <cell r="BD10" t="str">
            <v>Diseñar Programa para la Gestión de Sustancias Químicas de Uso Industrial</v>
          </cell>
          <cell r="BE10" t="str">
            <v>G37  - El Gobierno nacional en cabeza del DNP y las entidades competentes, en el marco de la MPC, concertarán el instrumento que regule el artículo 6 numeral 2 de la Ley 1551de 2012 y el numeral 17 del artículo 3 de la Ley 1454 de 2011y demás normas pertinentes, para la formulación e incorporación de la planeación territorial indígena en los instrumentos de ordenamiento y desarrollo territorial de las entidades territoriales, respetando la autonomía indígena.</v>
          </cell>
          <cell r="BF10" t="str">
            <v xml:space="preserve">Pacto región Santanderes  - Objetivo 3. Promoción de la conservación y uso sostenible del capital natural </v>
          </cell>
        </row>
        <row r="11">
          <cell r="B11" t="str">
            <v>XII. Pacto por la equidad de oportunidades para grupos étnicos: indígenas, negros, afrocolombianos, raizales, palenqueros y Rrom</v>
          </cell>
          <cell r="N11" t="str">
            <v>4.1.2.4 Gestión de sustancias químicas y residuos peligrosos.</v>
          </cell>
          <cell r="Z11" t="str">
            <v>FORTALECIMIENTO DE LA OFERTA INSTITUCIONAL PARA LA SOSTENIBILIDAD AMBIENTAL DEL TERRITORIO EN EL MARCO DE LOS NEGOCIOS VERDES Y SOSTENIBLES. NIVEL  NACIONAL.  REC 15 DONACION EUROPEA</v>
          </cell>
          <cell r="AC11" t="str">
            <v>Oficina de Control Interno</v>
          </cell>
          <cell r="AF11" t="str">
            <v>SEAFLOWER</v>
          </cell>
          <cell r="AI11" t="str">
            <v>CAMPESINOS</v>
          </cell>
          <cell r="AN11" t="str">
            <v>Fortalecimiento Institucional</v>
          </cell>
          <cell r="AO11" t="str">
            <v>9) PNGIRH - Política Nacional para la Gestión Integral del Recurso Hídrico</v>
          </cell>
          <cell r="AX11" t="str">
            <v>Porcentaje de mejora en el índice de efectividad de manejo de las áreas protegidas públicas</v>
          </cell>
          <cell r="AY11" t="str">
            <v>3801 - Manejo Ambiental Integral de la Cuenca Hidrográfica del Lago de Tota.</v>
          </cell>
          <cell r="AZ11" t="str">
            <v>Porcentaje de estaciones que cumplen con el objetivo intermedio III de las guías de calidad del aire de la Organización Mundial de la Salud (OMS) en material particulado inferior a 2.5 micras (PM2.5)</v>
          </cell>
          <cell r="BA11" t="str">
            <v>Porcentaje de avance en al puesta en marcha de la una Agenda Nacional Integrada Forestal</v>
          </cell>
          <cell r="BB11" t="str">
            <v>CONSULTA PUBLICA - MINERIA</v>
          </cell>
          <cell r="BD11" t="str">
            <v>Establececimiento de marco para distribución de beneficios de recursos genéticos</v>
          </cell>
          <cell r="BE11" t="str">
            <v>G38 - En el marco de la CNAI se construirá la política ambiental indígena tomando en consideración y enmarcada en las diferentes políticas ambientales, la cual será protocolizada en el marco de la MPC</v>
          </cell>
          <cell r="BF11" t="str">
            <v xml:space="preserve">Pacto región Amazonia  - Objetivo 1. Proteger y conservar los ecosistemas de la Amazonia como garantía para la equidad intergeneracional </v>
          </cell>
        </row>
        <row r="12">
          <cell r="B12" t="str">
            <v>XIII. Pacto por la inclusión de todas las personas con discapacidad</v>
          </cell>
          <cell r="N12" t="str">
            <v>4.1.3.1 Fomento a la economía circular en procesos productivos</v>
          </cell>
          <cell r="Z12" t="str">
            <v>CONSERVACIÓN DE LA BIODIVERSIDAD Y LOS SERVICIOS ECOSISTÉMICOS A NIVEL  NACIONAL REC 10</v>
          </cell>
          <cell r="AC12" t="str">
            <v>Oficina de Negocios Verdes</v>
          </cell>
          <cell r="AI12" t="str">
            <v>COMUNIDADES</v>
          </cell>
          <cell r="AN12" t="str">
            <v>Negocios Verdes y Sostenibles</v>
          </cell>
          <cell r="AO12" t="str">
            <v>10) PNPCS - Política Nacional Producción y Consumo Sostenible</v>
          </cell>
          <cell r="AX12" t="str">
            <v>Acuerdos de cero deforestación para las cadenas productivas del sector agropecuario en implementación (T)</v>
          </cell>
          <cell r="AY12" t="str">
            <v>3803 - Política para la preservación del paisaje cultural cafetero de Colombia</v>
          </cell>
          <cell r="AZ12" t="str">
            <v>Porcentaje de estaciones que cumplen con el objetivo intermedio III de las guías de calidad del aire de la Organización Mundial de la Salud (OMS) en material particulado inferior a 10 micras (PM10)</v>
          </cell>
          <cell r="BA12" t="str">
            <v>Porcentaje de avance en el proceso de presentación del Proyecto de Ley ante el Congreso</v>
          </cell>
          <cell r="BB12" t="str">
            <v>RESERVA FORESTAL NACIONAL PROTECTORA CERRO - DAPA-CARISUCIO</v>
          </cell>
          <cell r="BD12" t="str">
            <v xml:space="preserve">Establecer mecanismos para garantizar participación en áreas de frontera en la zona de influencia del proyecto </v>
          </cell>
          <cell r="BE12" t="str">
            <v>G39 - Incluir un análisis acordado a
partir de la metodología avalada
en la Corte Constitucional para dar cumplimiento a la Sentencia T-445 de 2016, en la investigación científica y sociológica de los impactos sobre los ecosistemas de la actividad minera y la
explotación lícita de los minerales en los territorios indígenas.</v>
          </cell>
          <cell r="BF12" t="str">
            <v xml:space="preserve">Pacto región Amazonia  - Objetivo 3. Desarrollar modelos productivos sostenibles asociados a la agro diversidad y al biocomercio de la Amazonia </v>
          </cell>
        </row>
        <row r="13">
          <cell r="B13" t="str">
            <v>XVI. Pacto por la descentralización: conectar territorios, gobiernos y poblaciones</v>
          </cell>
          <cell r="N13" t="str">
            <v>4.1.3.2 Aumento del aprovechamiento, reciclaje y tratamiento de residuos.</v>
          </cell>
          <cell r="Z13" t="str">
            <v>CONSERVACIÓN DE LA BIODIVERSIDAD Y LOS SERVICIOS ECOSISTÉMICOS A NIVEL  NACIONAL REC 11</v>
          </cell>
          <cell r="AC13" t="str">
            <v>Oficina de Planeación</v>
          </cell>
          <cell r="AI13" t="str">
            <v>GREMIOS</v>
          </cell>
          <cell r="AN13" t="str">
            <v>Gestión de Riesgos</v>
          </cell>
          <cell r="AO13" t="str">
            <v>11) PNIGR - Política Nacional para la Gestión Integral de Residuos</v>
          </cell>
          <cell r="AX13" t="str">
            <v>Plataformas colaborativas conformadas para la articulación de las inversiones y acciones públicas y privadas alrededor de las cuencas hidrográficas</v>
          </cell>
          <cell r="AY13" t="str">
            <v>3805 - Prosperidad para las fronteras de Colombia</v>
          </cell>
          <cell r="AZ13" t="str">
            <v>Departamentos con planes integrales (adaptación y mitigación) frente al cambio climático</v>
          </cell>
          <cell r="BA13" t="str">
            <v>Porcentaje de avance en el proceso de expedición del decreto</v>
          </cell>
          <cell r="BB13" t="str">
            <v xml:space="preserve">ARROYO BRUNO </v>
          </cell>
          <cell r="BD13" t="str">
            <v>Estimular esquemas silvopastoriles</v>
          </cell>
          <cell r="BE13" t="str">
            <v>G40 - Concertar en el marco de la MPC el diseño y/o adecuación y la implementación del programa de fortalecimiento a los pueblos indígenas en capacidades técnicas, administrativas y financieras, contempladas en el despliegue del Modelo Integrado de Planeación y Gestión (MIPG), con enfoque diferencial y de mujer, familia y generación, liderados por la función pública, coordinado por la Escuela Superior de Administración Pública (ESAP). Por su parte, el Ministerio de Medio Ambiente liderará todo lo relacionado con capacidades para el ordenamiento ambiental, biodiversidad y gobernanza</v>
          </cell>
          <cell r="BF13" t="str">
            <v>Pacto región Eje Cafetero y Antioquia  - Objetivo 2. Incentivar actividades económicas sostenibles y promover la recuperación ambiental de áreas degradadas por la extracción ilícita de minerales</v>
          </cell>
        </row>
        <row r="14">
          <cell r="I14" t="str">
            <v>4.4.1. Fortalecer la institucionalidad y la regulación para la sostenibilidad y la financiación del sector ambiental.</v>
          </cell>
          <cell r="N14" t="str">
            <v>4.1.4.1 Instrumentos financieros para incentivar al sector productivo en su transición a la sostenibilidad.</v>
          </cell>
          <cell r="Z14" t="str">
            <v>CONSERVACIÓN DE LA BIODIVERSIDAD Y LOS SERVICIOS ECOSISTÉMICOS A NIVEL  NACIONAL REC 15 DONACION EUROPEA</v>
          </cell>
          <cell r="AC14" t="str">
            <v>Oficina de Tecnologías de la Información</v>
          </cell>
          <cell r="AO14" t="str">
            <v>12) PNCC – Política Nacional de Cambio Climático</v>
          </cell>
          <cell r="AX14" t="str">
            <v>Autoridades ambientales que adoptan la Metodología de Evaluación de Daños y Análisis de Necesidades Ambientales</v>
          </cell>
          <cell r="AY14" t="str">
            <v>3810 - Política para el suministro de agua potable y saneamiento básico en la zona rural</v>
          </cell>
          <cell r="AZ14" t="str">
            <v>Porcentaje de departamentos y ciudades capitales que incorporan criterios de cambio climático en las líneas instrumentales de sus planes de desarrollo</v>
          </cell>
          <cell r="BA14" t="str">
            <v>Porcentaje de avance en el proceso de expedición de la resolución</v>
          </cell>
          <cell r="BD14" t="str">
            <v xml:space="preserve">Evaluar efectos ambientales y sociales del gasto público y de los subsidios (plan de acceso)
</v>
          </cell>
          <cell r="BE14" t="str">
            <v>G41 - Intégrese en el siguiente artículo a la Ley del Plan Nacional de Desarrollo. Modifíquese el inciso segundo del artículo 3 del Decreto 870 de 2017 el cual quedará de la siguiente manera: El Gobierno nacional y las organizaciones indígenas que asisten a la MPC construirán de manera conjunta la propuesta de reglamentación de pago por servicios ambientales- PSA y otros incentivos de conservación para los pueblos y comunidades indígenas y radicarán esta propuesta a la MPC una vez entre en vigencia la ley del Plan Nacional de Desarrollo, para incluir su respectivo proceso de consulta previa con los pueblos y organizaciones indígenas. PARÁGRAFO PRIMERO: El present e artículo, se interpretará sin detrimento del derecho a la consulta previa sobre el PSA e incentivos a la conservación para los demás grupos étnicos del país. PARÁGRAFO SEGUNDO. Aplicación del incent ivo de Pago por Servicios Ambientales (PSA) en territorios de Pueblos Indígenas. Para el diseño e implementación de PSA en territorios indígenas de que trata el artículo 3 de Decreto Ley 870 de 2017, se aplicará con carácter transitorio lo dispuesto por el Decreto 1007 de 2018 y las normas que les modifiquen o complementen, y adicionalmente se tendrá en cuenta las siguientes consideraciones: los Proyectos de PSA en territorios indígenas serán de carácter voluntario entre las partes, reconocerán las prácticas tradicionales de producción, estarán en armonía con los instrumentos de planificación propios y garantizarán la adecuada participación autonomía y libre autodeterminación de las comunidades indígenas. Los pueblos indígenas serán beneficiarios del incentivo de manera colectiva de acuerdo a los procedimientos que de manera autónoma se establezcan en sus territorios. La concertación en el marco del PND 2018-2022 sobre el incentivo de PSA servirá de marco para el diseño e implementación de proyectos específicos de PSA en territorios indígenas.</v>
          </cell>
          <cell r="BF14" t="str">
            <v>Pacto regiónLlanos-Orinoquia  - Objetivo 2. Impulsar la productividad y mejorar la eficiencia de los clústeres y las cadenas de valor agropecuarias, agroindustriales y turísticas</v>
          </cell>
        </row>
        <row r="15">
          <cell r="I15" t="str">
            <v>4.4.2. Robustecer los mecanismos de articulación y coordinación para la sostenibilidad.</v>
          </cell>
          <cell r="N15" t="str">
            <v>4.1.4.2 Financiación para la mitigación del Cambio climático.</v>
          </cell>
          <cell r="Z15" t="str">
            <v>CONSERVACIÓN DE CUENCAS HIDROGRÁFICAS ABASTECEDORAS DE ACUEDUCTOS MUNICIPALES A NIVEL NACIONAL FONAM REC 20</v>
          </cell>
          <cell r="AC15" t="str">
            <v>Oficina Juridica</v>
          </cell>
          <cell r="AO15" t="str">
            <v>13) PNGIRAEE - Política Nacional Gestión Integral de Residuos de Aparatos Eléctricos y Electrónicos</v>
          </cell>
          <cell r="AX15" t="str">
            <v>Porcentaje de departamentos que implementan iniciativas de adaptación al cambio climático orientadas por las autoridades ambientales</v>
          </cell>
          <cell r="AY15" t="str">
            <v>3819 - Política Nacional para la Consolidación del Sistema de Ciudades</v>
          </cell>
          <cell r="AZ15" t="str">
            <v>Residuos peligrosos aprovechados y tratados</v>
          </cell>
          <cell r="BA15" t="str">
            <v>Porcentaje de avance en el proceso de expedición del decreto e implementación de las nuevas reglas de cálculo y asignación de la tasa de aprovechamiento forestal</v>
          </cell>
          <cell r="BD15" t="str">
            <v>Evaluar impacto de políticas ambientales y producir indicadores fiables para medir desempeño ambiental</v>
          </cell>
          <cell r="BE15" t="str">
            <v>G42 - Formular y desarrollar concertadamente en la CNTI, los lineamientos diferenciales del programa de monitoreo comunitario ambiental, a partir de los conocimientos propios, la ley de origen y gobierno propio de cada pueblo para fortalecer los conocimientos y el manejo ambiental de los territorios indígenas.</v>
          </cell>
          <cell r="BF15" t="str">
            <v>Pacto regiónLlanos-Orinoquia  - Objetivo 3. Consolidar la estructura ecológica principal y gestionar integralmente el recurso hídrico para el desarrollo productivo sostenible de la región</v>
          </cell>
        </row>
        <row r="16">
          <cell r="I16" t="str">
            <v>4.4.3. Implementar una estrategia para la gestión y seguimiento de los conflictos socioambientales generados por el acceso y uso de los recursos naturales con base en procesos educativos y participativos que contribuyan a la consolidación de una cultura ambiental.</v>
          </cell>
          <cell r="N16" t="str">
            <v>4.1.4.3 Tasas ambientales.</v>
          </cell>
          <cell r="Z16" t="str">
            <v>FORMULACIÓN ADMINISTRACIÓN DE  LOS RECURSOS FONAM PARA EL USO SOSTENIBLE Y PROTECCIÓN DE LAS ESPECIES CITES  NACIONAL  REC 20</v>
          </cell>
          <cell r="AC16" t="str">
            <v>Secretaría General</v>
          </cell>
          <cell r="AX16" t="str">
            <v>Porcentaje de implementación del Sistema Nacional de Información de Cambio Climático</v>
          </cell>
          <cell r="AY16" t="str">
            <v>3849 - Estrategias para rendir honores a la desaparecida ciudad de Armero y a sus víctimas : Ley 1632 de 2013.</v>
          </cell>
          <cell r="AZ16" t="str">
            <v>Porcentaje de equipos y desechos de policlorobifenilos (PCB) eliminados</v>
          </cell>
          <cell r="BA16" t="str">
            <v>Porcentaje de avance en el proceso de activación y funcionamiento del Comité</v>
          </cell>
          <cell r="BD16" t="str">
            <v>Evaluar incentivos fiscales con motivaciones ambientales y reformar los que no son ambiental o económicamente eficaces y eficientes</v>
          </cell>
          <cell r="BE16" t="str">
            <v xml:space="preserve">G45 - En coordinación con AGROSAVIA, los institutos de investigación del SINA y las organizaciones indígenas, se diseñará e implementará de manera concertada un programa de investigación propia de los pueblos indígenas para el conocimiento, recuperación, conservación y propagación de especies de flora de alto valor cultural, ecológico, alimenticio y medicinal que permita la protección y el fortalecimiento del conocimiento tradicional y la restauración de los territorios indígenas. </v>
          </cell>
          <cell r="BF16" t="str">
            <v>Pacto región Océanos  - Objetivo 1. Fortalecer la gobernanza y la institucionalidad para la administración integral de los océanos, armonizando los instrumentos de planificación y ordenamiento territorial y marino</v>
          </cell>
        </row>
        <row r="17">
          <cell r="I17" t="str">
            <v>4.4.4. Mejorar la gestión de la información y su interoperabilidad entre los diferentes sectores</v>
          </cell>
          <cell r="N17" t="str">
            <v>4.2.1.1 Ejercer control territorial</v>
          </cell>
          <cell r="Z17" t="str">
            <v>FORMULACIÓN ADMINISTRACIÓN DE  LOS RECURSOS FONAM PARA EL USO SOSTENIBLE Y PROTECCIÓN DE LAS ESPECIES CITES  NACIONAL REC 21</v>
          </cell>
          <cell r="AC17" t="str">
            <v>Subdirección de Educación y Participación</v>
          </cell>
          <cell r="AX17" t="str">
            <v>Índice de Evaluación del Desempeño Institucional de las Corporaciones Autónomas Regionales</v>
          </cell>
          <cell r="AY17" t="str">
            <v>3850 - Fondo Colombia en Paz</v>
          </cell>
          <cell r="AZ17" t="str">
            <v>Residuos de bombillas con mercurio aprovechadas o gestionadas</v>
          </cell>
          <cell r="BA17" t="str">
            <v xml:space="preserve">Porcentaje de avance en el proceso de implementación Servicio Forestal Nacional </v>
          </cell>
          <cell r="BD17" t="str">
            <v>Evaluar resultados del Programa nacional de investigación, evaluación, prevención, reducción y control de fuentes de contaminación terrestres y marinas</v>
          </cell>
          <cell r="BE17" t="str">
            <v>G48 - Recogido parcialmente en la propuesta D8 Este fondo servirá como piloto para identificar en sus diferentes fases de implementación, las herramientas que permitan la evaluación e identificación en coordinación con los pueblos indígenas de los insumos para la estructuración de un plan de implementación de otros fondos en territorios indígenas.</v>
          </cell>
          <cell r="BF17" t="str">
            <v xml:space="preserve">Pacto región Océanos  - Objetivo 2. Incrementar el conocim ient o, invest igación, innovación y apropiación social para el desarrollo integral de espacios oceánicos, costeros e insulares </v>
          </cell>
        </row>
        <row r="18">
          <cell r="Z18" t="str">
            <v>CONSOLIDACIÓN SISTEMA DE INFORMACIÓN AMBIENTAL SIAC COMO EJE CENTRAL DE INFORMACIÓN AMBIENTAL OFICIAL Y SOPORTE PARA LA TOMA DE DECISIONES A NIVEL REGIONAL Y NACIONAL Y CONOCIMIENTO EN MATERIA AMBIENTAL A NIVEL NACIONAL Y REGIONAL BOGOTÁ REC 10 BLOQUEADO</v>
          </cell>
          <cell r="AC18" t="str">
            <v>Viceministerio de Politicas y Normalización Ambiental</v>
          </cell>
          <cell r="AX18" t="str">
            <v>Acuerdos y agendas interministeriales y productivos implementados</v>
          </cell>
          <cell r="AY18" t="str">
            <v>3857 - Lineamientos de política para la gestión de la red terciaria</v>
          </cell>
          <cell r="AZ18" t="str">
            <v>Negocios verdes verificados</v>
          </cell>
          <cell r="BA18" t="str">
            <v xml:space="preserve">Porcentaje de avance en el proceso de implementación del plan de acción para fortalecimiento </v>
          </cell>
          <cell r="BD18" t="str">
            <v>Expedir resolución sobre empaques y envases en el marco del programa REP</v>
          </cell>
          <cell r="BE18" t="str">
            <v>G49 - Construir de manera concertada en el marco de la MPC, el diseño de una línea base para desarrollar un piloto de evaluación de impactos ambientales, culturales y espirituales en territorios indígenas.</v>
          </cell>
          <cell r="BF18" t="str">
            <v xml:space="preserve">Pacto región Océanos  - Objetivo 3. Optimizar la conectividad, la infraestructura y la logística entre mar y tierra e impulsar el desarrollo productivo y el crecimiento de las actividades marítimas </v>
          </cell>
        </row>
        <row r="19">
          <cell r="Z19" t="str">
            <v>CONSOLIDACIÓN SISTEMA DE INFORMACIÓN AMBIENTAL SIAC COMO EJE CENTRAL DE INFORMACIÓN AMBIENTAL OFICIAL Y SOPORTE PARA LA TOMA DE DECISIONES A NIVEL REGIONAL Y NACIONAL Y CONOCIMIENTO EN MATERIA AMBIENTAL A NIVEL NACIONAL Y REGIONAL BOGOTÁ REC 10 SIN BLOQUEO</v>
          </cell>
          <cell r="AC19" t="str">
            <v>Viceministerio de Ordenamiento Ambiental del Territorio</v>
          </cell>
          <cell r="AX19" t="str">
            <v>Porcentaje de las solicitudes de licencias ambientales competencia de la ANLA resueltas dentro de los tiempos establecidos en la normatividad vigente</v>
          </cell>
          <cell r="AY19" t="str">
            <v>3868 - Política de gestión del riesgo asociado al uso de sustancias químicas</v>
          </cell>
          <cell r="AZ19" t="str">
            <v>Reducción de emisiones totales de gases efecto invernadero</v>
          </cell>
          <cell r="BA19" t="str">
            <v xml:space="preserve">Porcentaje de avance en el proceso de integración de los sistemas de información </v>
          </cell>
          <cell r="BD19" t="str">
            <v xml:space="preserve">Formular Plan de Acción para la Política Nacional para la Gestión Integral de la Biodiversidad y Sus Servicios Ecosistémicos </v>
          </cell>
          <cell r="BE19" t="str">
            <v>G50 - Construir e implementar programas relacionados con prevención del riesgo con ocasión de catástrofes naturales como consecuencia del cambio climático.</v>
          </cell>
        </row>
        <row r="20">
          <cell r="Z20" t="str">
            <v>CONSOLIDACIÓN SISTEMA DE INFORMACIÓN AMBIENTAL SIAC COMO EJE CENTRAL DE INFORMACIÓN AMBIENTAL OFICIAL Y SOPORTE PARA LA TOMA DE DECISIONES A NIVEL REGIONAL Y NACIONAL Y CONOCIMIENTO EN MATERIA AMBIENTAL A NIVEL NACIONAL Y REGIONAL BOGOTÁ REC 11</v>
          </cell>
          <cell r="AX20" t="str">
            <v>Área en proceso de restauración en la Cuenca d0 hael Río Atrato*</v>
          </cell>
          <cell r="AY20" t="str">
            <v>3874 - Política nacional para la gestión integral de residuos sólidos</v>
          </cell>
          <cell r="AZ20" t="str">
            <v>Departamentos con planes integrales (adaptación y mitigación) frente al cambio climático</v>
          </cell>
          <cell r="BA20" t="str">
            <v>Porcentaje de avance en desarrollo del Inventario Forestal Nacional</v>
          </cell>
          <cell r="BD20" t="str">
            <v>Formular política de RAEEs</v>
          </cell>
          <cell r="BE20" t="str">
            <v>G52 - Crear de manera conjunta con las organizaciones indígenas una estrategia nacional de corto, mediano y largo plazo para la prevención y el control de la deforestación en territorios indígenas; los proyectos que resulten de dicha estrategia, una vez formulados, serán inscritos en el banco de programas y proyectos de inversión nacional. Estos proyectos podrán ser utilizados para acceder a las diferentes fuentes de financiación de orden nacional y de cooperación internacional, entre ellos el Fondo Colombia Sostenible, Banco Mundial, Fondo Noruego, entre otros.</v>
          </cell>
        </row>
        <row r="21">
          <cell r="Z21" t="str">
            <v>GENERACIÓN CAPACIDADES PARA EL ADECUADO DESEMPEÑO AMBIENTAL DEL SINA EN EL TERRITORIO  NACIONAL  REC 10 BLOQUEADO</v>
          </cell>
          <cell r="AX21" t="str">
            <v>Áreas bajo esquemas de producción sostenible (restauración, conservación, sistemas silvopastoriles, sistemas agroforestales, piscicultura, reconversión productiva)</v>
          </cell>
          <cell r="AY21" t="str">
            <v>3886 - Lineamientos de política y programa nacional de pago por servicios ambientales para la construcción de paz.</v>
          </cell>
          <cell r="AZ21" t="str">
            <v>Porcentaje de departamentos y ciudades capitales que incorporan criterios de cambio climático en las líneas instrumentales de sus planes de desarrollo</v>
          </cell>
          <cell r="BA21" t="str">
            <v>Número de campañas realizadas</v>
          </cell>
          <cell r="BD21" t="str">
            <v>Fortalecer esfuerzos para reducir el impacto en la salud de la contaminación del aire en urbes</v>
          </cell>
          <cell r="BE21" t="str">
            <v>G53 - Consolidar de manera concertada una estrategia indígena de corto, mediano y largo plazo para contrarrestar la deforestación y promover la restauración en los territorios indígenas, así como para adelantar una actualización de los diagnósticos mediante el monitoreo comunitario, entre otros sistemas de información disponibles, que permitan identificar las causas, agentes e impactos de la deforestación, que facilite la implementación de acciones de adaptación y mitigación al cambio climático mediante la preservación y
cuidado de la madre tierra en el marco de REDD+ de la Estrategia Integral de Control a la Deforestación y Gestión de los Bosques (EICDGB).</v>
          </cell>
        </row>
        <row r="22">
          <cell r="Z22" t="str">
            <v>GENERACIÓN CAPACIDADES PARA EL ADECUADO DESEMPEÑO AMBIENTAL DEL SINA EN EL TERRITORIO  NACIONAL  REC 10  SIN BLOQUEO</v>
          </cell>
          <cell r="AX22" t="str">
            <v>Iniciativas de carbono azul para el
uso sostenible de los manglares en
implementación</v>
          </cell>
          <cell r="AY22" t="str">
            <v xml:space="preserve">3904 - Plan para la reconstrucción del municipio de Mocoa 2017-2022, concepto favorable a la nación para contratar un empréstito externo hasta la suma de USD 30 millones, o su equivalente en otras monedas, para financiar la implementación del Plan Maestro de Alcantarillado del municipio de Mocoa (fase I), y declaración de importancia estratégica del Plan Maestro de alcantarillado del municipio de Mocoa ( Fase I ). </v>
          </cell>
          <cell r="AZ22" t="str">
            <v>Planes sectoriales integrales de cambio climático formulados</v>
          </cell>
          <cell r="BA22" t="str">
            <v xml:space="preserve">Porcentaje de avance en el proceso de implementación del sistema de trazabilidad </v>
          </cell>
          <cell r="BD22" t="str">
            <v>Fortalecer financiamiento de áreas protegidas</v>
          </cell>
          <cell r="BE22" t="str">
            <v>G58 - Concertar con el Viceministerio de turismo una política pública de turismo comunitario con enfoque diferencial con los pueblos indígenas para regular las actividades turísticas desde los derechos, necesidades y pensamientos propios de cada pueblo indígena que permita la protección y la salvaguarda de los mismos.</v>
          </cell>
        </row>
        <row r="23">
          <cell r="Z23" t="str">
            <v>GENERACIÓN CAPACIDADES PARA EL ADECUADO DESEMPEÑO AMBIENTAL DEL SINA EN EL TERRITORIO  NACIONAL  REC 11</v>
          </cell>
          <cell r="AX23" t="str">
            <v>Áreas bajo esquemas de producción sostenible (restauración, conservación, sistemas silvopastoriles, sistemas agroforestales, piscicultura, reconversión productiva)</v>
          </cell>
          <cell r="AY23" t="str">
            <v>3915 - Lineamientos de política y estrategias para el desarrollo regional sostenible del Macizo Colombiano.</v>
          </cell>
          <cell r="AZ23" t="str">
            <v>Miles de hectáreas de áreas marinas protegidas</v>
          </cell>
          <cell r="BA23" t="str">
            <v>Número de autoridades ambientales que reciben acompañamiento técnico</v>
          </cell>
          <cell r="BD23" t="str">
            <v>Fortalecer mecanismos de acceso a recursos genéticos</v>
          </cell>
          <cell r="BE23" t="str">
            <v>G59 - Diseñar de manera concertada y expedir el instrumento normativo que crea la Comisión Nacional Ambiental Indígena-CNAI y garantizar el funcionamiento.</v>
          </cell>
        </row>
        <row r="24">
          <cell r="Z24" t="str">
            <v>FORTALECIMIENTO DE LA GESTIÓN DE CAMBIO CLIMÁTICO EN LA PLANEACIÓN SECTORIAL Y TERRITORIAL  NACIONAL  REC 11</v>
          </cell>
          <cell r="AX24" t="str">
            <v>Iniciativas de biotecnología y bioprospección iniciadas en la reserva de Biosfera Seaflower</v>
          </cell>
          <cell r="AY24" t="str">
            <v>3918 - Estrategia para la Implementación de los Objetivos de Desarrollo Sostenible (ODS) En Colombia”</v>
          </cell>
          <cell r="AZ24" t="str">
            <v>Porcentaje de estaciones de monitoreo de aguas marinas con categoría entre aceptable a óptima del Índice de calidad de Aguas Marinas (ICAM)</v>
          </cell>
          <cell r="BA24" t="str">
            <v>Porcentaje de avance en la formulación de la  estrategia integral de financiación</v>
          </cell>
          <cell r="BD24" t="str">
            <v>Fortalecer monitoreo ambiental nacional y regional considerando riesgos en salud humana y ambiente</v>
          </cell>
          <cell r="BE24" t="str">
            <v>H40 - Ministerio de Ambiente y Desarrollo
Sostenible concertara y construirá
junto con organizaciones y
autoridades indígenas, los proyectos
que permitan la creación de centros
botánicos para la investigación,
conservación y recuperación de
plantas endémicas y medicinales
que permitan garantizar la
conservación y revitalización de las
practicas medicinales, sitios
sagrados y sistemas propios de
producción acorde a la Ley de
Origen, Derecho Mayor y Derecho
Propio.</v>
          </cell>
        </row>
        <row r="25">
          <cell r="AX25" t="str">
            <v>Puntos de monitoreo en ríos  Bogotá y Chicamocha con índice de calidad del agua (ICA) "malo"</v>
          </cell>
          <cell r="AY25" t="str">
            <v>3919 - Política Nacional de Edificaciones Sostenibles</v>
          </cell>
          <cell r="AZ25" t="str">
            <v>Miles de hectáreas de áreas protegidas</v>
          </cell>
          <cell r="BA25" t="str">
            <v xml:space="preserve">Porcentaje de avance en el proceso de formulación y expedición de la modificación del Decreto </v>
          </cell>
          <cell r="BD25" t="str">
            <v>Garantizar integración de la biodiversidad en EAE</v>
          </cell>
          <cell r="BE25" t="str">
            <v>B1 - El Ministerio de Ambiente y
Desarrollo Sostenible concertará con
las autoridades indígenas el diseño,
formulación e implementación de
estrategias de conservación y
restauración en el Pacífico, para el
desarrollo de un portafolio de planes,
programas y proyectos de
conservación ambiental, articulado
con los planes de vida.</v>
          </cell>
        </row>
        <row r="26">
          <cell r="AX26" t="str">
            <v>Puntos de monitoreo con índice de calidad del agua (ICA) "malo"  (ríos suarez, Pamplonita y Opón</v>
          </cell>
          <cell r="AY26" t="str">
            <v>3934 - Política DE Crecimiento Verde</v>
          </cell>
          <cell r="AZ26" t="str">
            <v>Pérdida anualizada de bosque natural</v>
          </cell>
          <cell r="BA26" t="str">
            <v>Porcentaje de avance en el desarrollo de los mecanismos de precios asociados a las emisiones de CO2</v>
          </cell>
          <cell r="BD26" t="str">
            <v>Hacer inventario de sitios contaminados</v>
          </cell>
          <cell r="BE26" t="str">
            <v>B5 - El Ministerio de Ambiente y
Desarrollo Sostenible concertara con
las autoridades indígenas el diseño,
formulación e implementación de
estrategias de conservación y
restauración en la Orinoquia, para el
desarrollo de un portafolio de planes,
programas y proyectos de conservación ambiental, articulado
con los planes de vida.</v>
          </cell>
        </row>
        <row r="27">
          <cell r="Z27" t="str">
            <v>FORTALECIMIENTO FORTALECER  LA GESTIÓN AMBIENTAL DEL ESTADO COLOMBIANO SOBRE LAS ZONAS MARINAS Y COSTERAS Y RECURSOS ACUÁTICOS NACIONAL - REC 11</v>
          </cell>
          <cell r="AX27" t="str">
            <v>Áreas bajo esquemas de conservación y producción sostenible (restauración, conservación, sistemas silvopastoriles, sistemas agroforestales, piscicultura, reconversión productiva)</v>
          </cell>
          <cell r="AZ27" t="str">
            <v>Porcentaje de la superficie cubierta por bosque natural</v>
          </cell>
          <cell r="BA27" t="str">
            <v>Porcentaje de avance en el proceso de desarrollo de la estrategia de formación y capacitación en NVS</v>
          </cell>
          <cell r="BD27" t="str">
            <v>Implementar el Registro de Sustancias Químicas y del Registro de Emisiones y Transferencia de Contaminantes - RETC</v>
          </cell>
          <cell r="BE27" t="str">
            <v>B6 - El Ministerio de Ambiente y
Desarrollo Sostenible concertara con
las autoridades indígenas
Amazónicas, el diseño, formulación e
implementación de estrategias de
conservación, restauración,
mitigación y adaptación ambiental en
la Amazonia, para el desarrollo de un
portafolio de proyectos de
conservación ambiental, articulado
con los planes de vida.</v>
          </cell>
        </row>
        <row r="28">
          <cell r="Z28" t="str">
            <v>IMPLEMENTACIÓN DE ESTRATEGIAS DE LA POLÍTICA NACIONAL DE EDUCACIÓN AMBIENTAL Y PARTICIPACIÓN HACIA LA GOBERNANZA AMBIENTAL EN COLOMBIA.  NACIONAL REC 11</v>
          </cell>
          <cell r="AX28" t="str">
            <v>Familias campesinas beneficiadas por actividades agroambientales con acuerdos de conservación de bosques</v>
          </cell>
          <cell r="AZ28" t="str">
            <v>Áreas en proceso de restauración</v>
          </cell>
          <cell r="BA28" t="str">
            <v>Porcentaje de avance en el proceso de desarrollo documento con diagnóstico y propuesta de instrumentos para el fomento de NVS.</v>
          </cell>
          <cell r="BD28" t="str">
            <v>Imponer gravámenes a productos agroquímicos</v>
          </cell>
          <cell r="BE28" t="str">
            <v>D2 - El Ministerio de Ambiente y Desarrollo
Sostenible concertará con las autoridades
indígenas el diseño, formulación e
implementación de estrategias de conservación y restauración en la Sierra
Nevada de Santa Marta, para el desarrollo
de un portafolio de planes, programas y
proyectos de conservación ambiental,
articulado con los planes de vida y la Ley
de Origen.</v>
          </cell>
        </row>
        <row r="29">
          <cell r="Z29" t="str">
            <v>FORTALECIMIENTO EN EL CONTROL Y SEGUIMIENTO A LOS COMPROMISOS ADQUIRIDOS EN ESCENARIOS INTERNACIONALES DE LA GESTIÓN AMBIENTAL.  NACIONAL  REC 11</v>
          </cell>
          <cell r="AX29" t="str">
            <v>Áreas bajo esquemas de conservación y producción sostenible (restauración, conservación, sistemas silvopastoriles, sistemas agroforestales, piscicultura, reconversión productiva)</v>
          </cell>
          <cell r="AZ29" t="str">
            <v>Proporción de especies críticamente amenazadas</v>
          </cell>
          <cell r="BA29" t="str">
            <v>Porcentaje de avance en el proceso de actualización de herramienta de verificación</v>
          </cell>
          <cell r="BD29" t="str">
            <v>Inclusión de ecosistemas subrepresentados en áreas protegidas (especialmente marinos)</v>
          </cell>
          <cell r="BE29" t="str">
            <v>D6 - El Ministerio de Ambiente y Desarrollo
Sostenible -MADS- en coordinación con
las Autoridades ambientales y las
autoridades indígenas, definirá unos
lineamientos y orientaciones para ser
incluidos en los planes de ordenamiento y
desarrollo de las entidades territoriales
correspondientes, que garanticen el
manejo de las condiciones especiales de
tipo ambiental, ecológico, biológico, hídrico
y cultural de la Sierra Nevada de Santa
Marta.</v>
          </cell>
        </row>
        <row r="30">
          <cell r="Z30" t="str">
            <v>FORTALECIMIENTO DE LOS PROCESOS DE PLANEACION, EVALUACION Y SEGUIMIENTO A LA GESTION ADELANTADA POR EL SECTOR AMBIENTAL NACIONAL REC 11</v>
          </cell>
          <cell r="AX30" t="str">
            <v>Áreas afectadas por el desarrollo de actividades ilegales en proceso de restauración</v>
          </cell>
          <cell r="AZ30" t="str">
            <v>Proporción de especies amenazadas</v>
          </cell>
          <cell r="BA30" t="str">
            <v>Número de negocios verdes y sostenibles verificados</v>
          </cell>
          <cell r="BD30" t="str">
            <v>Incorporar criterios ambientales en los planes de uso del suelo, particularmente en zonas rurales y costeras</v>
          </cell>
          <cell r="BE30" t="str">
            <v>6.A.3. - El Ministerio de Ambiente y Desarrollo Sostenible en función de la estrategia de económica circular acuerda vincular al pueblo Rrom para participar en los talleres priorizados que se dictaran en las diferentes regiones del país, en donde se diseñaran acciones para impulsar la estrategia con cada uno de los sectores productivos, la academia y el sector público.</v>
          </cell>
        </row>
        <row r="31">
          <cell r="Z31" t="str">
            <v>FORTALECIMIENTO DE LA GESTIÓN INSTITUCIONAL DE LA SECRETARÍA GENERAL DEL MINISTERIO DE AMBIENTE Y DESARROLLO SOSTENIBLE.  BOGOTÁ  REC 11</v>
          </cell>
          <cell r="AX31" t="str">
            <v>Áreas bajo esquemas de conservación y producción sostenible (restauración, conservación, sistemas silvopastoriles, sistemas agroforestales, piscicultura, reconversión productiva)</v>
          </cell>
          <cell r="AZ31" t="str">
            <v>Proporción de especies vulnerables</v>
          </cell>
          <cell r="BA31" t="str">
            <v>Número de guías ambientales actualizadas</v>
          </cell>
          <cell r="BD31" t="str">
            <v>Incrementar el gravamen por contaminación de agua para aumentar ingresos a invertir en infraestructura de tratamiento de aguas residuales</v>
          </cell>
          <cell r="BE31" t="str">
            <v>6.A.4. - El Ministerio de Ambiente brindará asistencia técnica para transferir las metodologías y lineamientos de las iniciativas productivas con la comunidad Rrom, que cumplan con los criterios de negocios verdes, a través de las ventanillas de negocios verdes en las Autoridades Ambientales.</v>
          </cell>
        </row>
        <row r="32">
          <cell r="Z32" t="str">
            <v>FORTALECIMIENTO DE LA ESTRATEGIA DE TI Y TRANSFORMACIÓN DIGITAL EN EL MINISTERIO DE AMBIENTE Y DESARROLLO SOSTENIBLE NACIONAL  REC 11</v>
          </cell>
          <cell r="AX32" t="str">
            <v>Porcentaje de estaciones de monitoreo de aguas marinas con categorías aceptable y óptima</v>
          </cell>
          <cell r="BA32" t="str">
            <v>Porcentaje de avance en la definición de la estrategia de la cadena de valor que estimulen la creación de empresas orientadas al crecimiento verde en los planes departamentales de extensión agropecuaria.</v>
          </cell>
          <cell r="BD32" t="str">
            <v>Integrar criterios ambientales en políticas de redistribución de tierras y reforma agraria</v>
          </cell>
          <cell r="BE32" t="str">
            <v>G.A.6 - Diseñar un documento que incluya los lineamientos para el trabajo con el Pueblo Rrom en la educación ambiental, en articulación con las Autoridades Ambientales Urbanas y las Corporaciones Autónomas Regionales competentes. Este trabajo se lidera de manera conjunta con las Kumpañy y Organizaciones Rrom.</v>
          </cell>
        </row>
        <row r="33">
          <cell r="Z33" t="str">
            <v>IMPLEMENTACIÓN DE LAS ESTRATEGIAS, INSTRUMENTOS Y RECOMENDACIONES DE LA OCDE EN MATERIA DE GESTIÓN AMBIENTAL A NIVEL NACIONAL REC 11</v>
          </cell>
          <cell r="AX33" t="str">
            <v>Acuerdos para el aprovechamiento local de plásticos y otros materiales reciclables en municipios costeros de los litorales Pacífico y Caribe (continental e insular) en implementación</v>
          </cell>
          <cell r="BA33" t="str">
            <v xml:space="preserve">
Porcentaje de avance en el desarrollo del programa de acreditación de actividades agropecuarias </v>
          </cell>
          <cell r="BD33" t="str">
            <v>Intensificar esfuerzos para mejorar calidad y relevancia de datos ambientales y sistemas de información para formulación de políticas</v>
          </cell>
          <cell r="BE33" t="str">
            <v>A7 - MinAmbiente en coordinación con las autoridades ambientales e institutos de investigación, promoverá el uso eficiente de aguas, suelo y biodiversidad en los territorios de comunidades negras, afrocolombianas, palenqueras y raizales teniendo en cuenta sus usos y costumbres.</v>
          </cell>
        </row>
        <row r="34">
          <cell r="Z34" t="str">
            <v>IMPLEMENTACIÓN DE LA ESTRATEGIA DE DIVULGACIÓN Y COMUNICACIÓN DE LA INFORMACIÓN AMBIENTAL A NIVEL  NACIONAL  REC 11</v>
          </cell>
          <cell r="BA34" t="str">
            <v>Porcentaje de avance en la implementación de la estrategia de fortalecimiento</v>
          </cell>
          <cell r="BD34" t="str">
            <v>Marco regulatorio coherente interinstitucionalmente con sector de minería, de energía y de agricultura</v>
          </cell>
          <cell r="BE34" t="str">
            <v>A12 - El MinAmbiente promoverá acciones encaminadas a fortalecer los conocimientos, usos, costumbres, saberes y prácticas tradicionales de comunidades negras asociadas a la conservación de la biodiversidad, bosques y ecosistemas</v>
          </cell>
        </row>
        <row r="35">
          <cell r="BA35" t="str">
            <v>Porcentaje de avance en el proceso de formulación e implementación de proyectos enfocados en el uso eficiente del agua, la difusión y transferencia de buenas prácticas</v>
          </cell>
          <cell r="BD35" t="str">
            <v xml:space="preserve">Medidas para implementar estrategia sobre biotecnología y uso sostenible de biodivesidad
</v>
          </cell>
          <cell r="BE35" t="str">
            <v>A13 - En coordinación y articulación con las entidades del SINA y en coordinación con los consejos comunitarios de comunidades negras y organizaciones de comunidades negras según corresponda, se implementarán programas ambientales que fortalezcan las practicas ecológicas y ambientales en territorios de comunidades  negras  afrocolombianas, raizales y palenqueras.</v>
          </cell>
        </row>
        <row r="36">
          <cell r="BA36" t="str">
            <v>Porcentaje de avance en la implementación del Programa</v>
          </cell>
          <cell r="BD36" t="str">
            <v>Medidas para proteger áreas terrestres y marinas</v>
          </cell>
          <cell r="BE36" t="str">
            <v>A17 - El Ministerio de Ambiente y Desarrollo Sostenible coordinará con las entidades del SINA y del orden nacional el acompañamiento a os entes territoriales para impulsar la formulación de acciones y proyectos orientados a la prevención de riesgos de desastres y gestión del cambio climático entre los que se considere la erosión costera  coordinado con los consejos comunitarios y organizaciones de las comunidades negras afros raizales y palenqueras donde corresponda. Líder: MADS.</v>
          </cell>
        </row>
        <row r="37">
          <cell r="BA37" t="str">
            <v>Porcentaje de avance en el proceso de evaluación de la tasa retributiva</v>
          </cell>
          <cell r="BD37" t="str">
            <v>Medidas para proteger especies endémicas y biodiversidad amenazada</v>
          </cell>
          <cell r="BE37" t="str">
            <v>A28 - Acordar modelos de coordinación entre las comunidades negras, afrocolombianas, raizales y palenqueras y Parques Nacionales Naturales de Colombia para la planeación,
el manejo y la gestión de las áreas protegidas administradas por PNNC, relacionadas con territorios de uso de estas comunidades.</v>
          </cell>
        </row>
        <row r="38">
          <cell r="BA38" t="str">
            <v>Porcentaje de avance en el proceso de desarrollo de un módulo de información sobre la TUA y la TR en el SIRH</v>
          </cell>
          <cell r="BD38" t="str">
            <v>Promover participación pública en procesos de Estudios de Impacto Ambiental</v>
          </cell>
          <cell r="BE38" t="str">
            <v>A35 - El Ministerio de Ambiente y Desarrollo  Sostenible, en coordinación con los institutos de investigación del SINA y los Consejos Comunitarios , organizaciones y diferentes formas organizativas de comunidades negras, afrocolombianas,  raizales y palenqueras desarrollará un programa para el conocimiento, recuperación, conservación y propagación de especies de flora de alto valor cultural, ecológico, alimenticio, medicinal y de uso cosmético, que permita la protección y el fortalecimiento del conocimiento
tradicional y la restauración del territorio.</v>
          </cell>
        </row>
        <row r="39">
          <cell r="N39" t="str">
            <v>4.4.1.1. CARS: reforma, fortalecimiento y financiación; avanzar hacia unas CARS  con mayor efectividad en su gestión</v>
          </cell>
          <cell r="BA39" t="str">
            <v>Porcentaje de avance en el proceso de implementación de la estrategia de promoción del reúso del agua</v>
          </cell>
          <cell r="BD39" t="str">
            <v>Realizar análisis para evaluar necesidad de licencias ambientales para exploración minera y otras actividades</v>
          </cell>
        </row>
        <row r="40">
          <cell r="N40" t="str">
            <v>4.4.1.2. Fortalecer el proceso de licenciamiento ambiental y la evaluación de permisos y otros instrumentos de control ambiental.</v>
          </cell>
          <cell r="BA40" t="str">
            <v>Porcentaje de avance en el proceso de implementación de la estrategia</v>
          </cell>
          <cell r="BD40" t="str">
            <v xml:space="preserve">Reforzar rol del MADS como líder SINA </v>
          </cell>
        </row>
        <row r="41">
          <cell r="BA41" t="str">
            <v>Porcentaje de avance en el desarrollo de lineamientos para la promoción de la participación de la demanda</v>
          </cell>
          <cell r="BD41" t="str">
            <v>Reglamentar la política de gestión integral de residuos</v>
          </cell>
        </row>
        <row r="42">
          <cell r="BA42" t="str">
            <v>Porcentaje de avance en el proceso de actualización de la Política</v>
          </cell>
          <cell r="BD42" t="str">
            <v>Regular la eliminación de plomo en materiales didácticos y pinturas</v>
          </cell>
        </row>
        <row r="43">
          <cell r="BA43" t="str">
            <v>Guía Publicada</v>
          </cell>
          <cell r="BD43" t="str">
            <v>Revisar implementación de política nacional ambiental para el desarrollo sostenible de espacios oceánicos y zonas costeras e insulares</v>
          </cell>
        </row>
        <row r="44">
          <cell r="BA44" t="str">
            <v>Número de capacitaciones realizadas</v>
          </cell>
        </row>
        <row r="45">
          <cell r="BA45" t="str">
            <v>Número de acuerdos macro o instrumentos de agregación de demanda con criterios de sostenibilidad</v>
          </cell>
        </row>
        <row r="46">
          <cell r="BA46" t="str">
            <v>Porcentaje de avance en la elaboración de la propuesta metodológica de la cuenta de flujos de materiales en el marco de la Cuenta Satélite Ambiental</v>
          </cell>
        </row>
        <row r="47">
          <cell r="BA47" t="str">
            <v>Porcentaje de avance en el seguimiento y acompañamiento metodológico de identificación de brechas de capital humano.</v>
          </cell>
        </row>
        <row r="48">
          <cell r="BA48" t="str">
            <v>Número de reportes de seguimiento al estado de implementación de la Política de Crecimiento Verde</v>
          </cell>
        </row>
        <row r="49">
          <cell r="BA49" t="str">
            <v>Porcentaje de implementación Sistema de Información de Planificación y Gestión Ambiental de las Corporaciones Autónomas Regionales (SIPGA-CAR)</v>
          </cell>
        </row>
        <row r="50">
          <cell r="BA50" t="str">
            <v>Porcentaje de implementación de Documento de lineamientos de  Política y  Protocolo para la Gestión de Datos de Información actualizado.</v>
          </cell>
        </row>
      </sheetData>
      <sheetData sheetId="2">
        <row r="2">
          <cell r="B2">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4:E84"/>
  <sheetViews>
    <sheetView showGridLines="0" zoomScale="78" zoomScaleNormal="78" workbookViewId="0">
      <selection activeCell="A5" sqref="A5:E15"/>
    </sheetView>
  </sheetViews>
  <sheetFormatPr baseColWidth="10" defaultRowHeight="15"/>
  <cols>
    <col min="1" max="1" width="11.42578125" customWidth="1"/>
    <col min="2" max="2" width="94.42578125" customWidth="1"/>
    <col min="3" max="3" width="14.140625" bestFit="1" customWidth="1"/>
    <col min="4" max="4" width="9.28515625" bestFit="1" customWidth="1"/>
    <col min="5" max="5" width="19.7109375" customWidth="1"/>
  </cols>
  <sheetData>
    <row r="4" spans="1:5">
      <c r="A4" s="87" t="s">
        <v>88</v>
      </c>
      <c r="B4" s="87" t="s">
        <v>89</v>
      </c>
      <c r="C4" s="87" t="s">
        <v>90</v>
      </c>
      <c r="D4" s="87" t="s">
        <v>222</v>
      </c>
      <c r="E4" s="87" t="s">
        <v>106</v>
      </c>
    </row>
    <row r="5" spans="1:5" s="148" customFormat="1">
      <c r="A5" s="286" t="s">
        <v>13</v>
      </c>
      <c r="B5" s="286" t="s">
        <v>172</v>
      </c>
      <c r="C5" s="286" t="s">
        <v>542</v>
      </c>
      <c r="D5" s="286">
        <v>10</v>
      </c>
      <c r="E5" s="287">
        <v>0</v>
      </c>
    </row>
    <row r="6" spans="1:5" s="148" customFormat="1">
      <c r="A6" s="286" t="s">
        <v>13</v>
      </c>
      <c r="B6" s="286" t="s">
        <v>172</v>
      </c>
      <c r="C6" s="286" t="s">
        <v>542</v>
      </c>
      <c r="D6" s="286">
        <v>11</v>
      </c>
      <c r="E6" s="287">
        <v>0</v>
      </c>
    </row>
    <row r="7" spans="1:5">
      <c r="A7" s="286" t="s">
        <v>13</v>
      </c>
      <c r="B7" s="286" t="s">
        <v>172</v>
      </c>
      <c r="C7" s="286" t="s">
        <v>158</v>
      </c>
      <c r="D7" s="286">
        <v>10</v>
      </c>
      <c r="E7" s="287">
        <v>0</v>
      </c>
    </row>
    <row r="8" spans="1:5">
      <c r="A8" s="286" t="s">
        <v>14</v>
      </c>
      <c r="B8" s="286" t="s">
        <v>394</v>
      </c>
      <c r="C8" s="286" t="s">
        <v>175</v>
      </c>
      <c r="D8" s="286">
        <v>10</v>
      </c>
      <c r="E8" s="287">
        <v>0</v>
      </c>
    </row>
    <row r="9" spans="1:5">
      <c r="A9" s="286" t="s">
        <v>15</v>
      </c>
      <c r="B9" s="286" t="s">
        <v>395</v>
      </c>
      <c r="C9" s="286" t="s">
        <v>130</v>
      </c>
      <c r="D9" s="286">
        <v>11</v>
      </c>
      <c r="E9" s="287">
        <v>0</v>
      </c>
    </row>
    <row r="10" spans="1:5">
      <c r="A10" s="286" t="s">
        <v>10</v>
      </c>
      <c r="B10" s="286" t="s">
        <v>393</v>
      </c>
      <c r="C10" s="286" t="s">
        <v>544</v>
      </c>
      <c r="D10" s="286">
        <v>10</v>
      </c>
      <c r="E10" s="287">
        <v>0</v>
      </c>
    </row>
    <row r="11" spans="1:5">
      <c r="A11" s="286" t="s">
        <v>13</v>
      </c>
      <c r="B11" s="286" t="s">
        <v>172</v>
      </c>
      <c r="C11" s="286" t="s">
        <v>542</v>
      </c>
      <c r="D11" s="286">
        <v>10</v>
      </c>
      <c r="E11" s="287">
        <v>0</v>
      </c>
    </row>
    <row r="12" spans="1:5">
      <c r="A12" s="286" t="s">
        <v>13</v>
      </c>
      <c r="B12" s="286" t="s">
        <v>172</v>
      </c>
      <c r="C12" s="286" t="s">
        <v>542</v>
      </c>
      <c r="D12" s="286">
        <v>11</v>
      </c>
      <c r="E12" s="287">
        <v>0</v>
      </c>
    </row>
    <row r="13" spans="1:5">
      <c r="A13" s="286" t="s">
        <v>13</v>
      </c>
      <c r="B13" s="286" t="s">
        <v>172</v>
      </c>
      <c r="C13" s="286" t="s">
        <v>158</v>
      </c>
      <c r="D13" s="286">
        <v>10</v>
      </c>
      <c r="E13" s="287">
        <v>0</v>
      </c>
    </row>
    <row r="14" spans="1:5">
      <c r="A14" s="286" t="s">
        <v>14</v>
      </c>
      <c r="B14" s="286" t="s">
        <v>394</v>
      </c>
      <c r="C14" s="286" t="s">
        <v>175</v>
      </c>
      <c r="D14" s="286">
        <v>10</v>
      </c>
      <c r="E14" s="287">
        <v>0</v>
      </c>
    </row>
    <row r="15" spans="1:5">
      <c r="A15" s="286" t="s">
        <v>15</v>
      </c>
      <c r="B15" s="286" t="s">
        <v>395</v>
      </c>
      <c r="C15" s="286" t="s">
        <v>130</v>
      </c>
      <c r="D15" s="286">
        <v>11</v>
      </c>
      <c r="E15" s="287">
        <v>0</v>
      </c>
    </row>
    <row r="16" spans="1:5">
      <c r="A16" s="142" t="s">
        <v>10</v>
      </c>
      <c r="B16" s="142" t="s">
        <v>393</v>
      </c>
      <c r="C16" s="142" t="s">
        <v>544</v>
      </c>
      <c r="D16" s="142">
        <v>10</v>
      </c>
      <c r="E16" s="143">
        <v>0</v>
      </c>
    </row>
    <row r="17" spans="1:5">
      <c r="A17" s="142" t="s">
        <v>13</v>
      </c>
      <c r="B17" s="142" t="s">
        <v>172</v>
      </c>
      <c r="C17" s="142" t="s">
        <v>542</v>
      </c>
      <c r="D17" s="142">
        <v>10</v>
      </c>
      <c r="E17" s="143">
        <v>0</v>
      </c>
    </row>
    <row r="18" spans="1:5">
      <c r="A18" s="142" t="s">
        <v>13</v>
      </c>
      <c r="B18" s="142" t="s">
        <v>172</v>
      </c>
      <c r="C18" s="142" t="s">
        <v>542</v>
      </c>
      <c r="D18" s="142">
        <v>11</v>
      </c>
      <c r="E18" s="143">
        <v>0</v>
      </c>
    </row>
    <row r="19" spans="1:5">
      <c r="A19" s="142" t="s">
        <v>13</v>
      </c>
      <c r="B19" s="142" t="s">
        <v>172</v>
      </c>
      <c r="C19" s="142" t="s">
        <v>158</v>
      </c>
      <c r="D19" s="142">
        <v>10</v>
      </c>
      <c r="E19" s="143">
        <v>0</v>
      </c>
    </row>
    <row r="20" spans="1:5">
      <c r="A20" s="142" t="s">
        <v>14</v>
      </c>
      <c r="B20" s="142" t="s">
        <v>394</v>
      </c>
      <c r="C20" s="142" t="s">
        <v>175</v>
      </c>
      <c r="D20" s="142">
        <v>10</v>
      </c>
      <c r="E20" s="143">
        <v>0</v>
      </c>
    </row>
    <row r="21" spans="1:5">
      <c r="A21" s="88" t="s">
        <v>15</v>
      </c>
      <c r="B21" s="88" t="s">
        <v>395</v>
      </c>
      <c r="C21" s="88" t="s">
        <v>130</v>
      </c>
      <c r="D21" s="88">
        <v>11</v>
      </c>
      <c r="E21" s="89">
        <v>0</v>
      </c>
    </row>
    <row r="22" spans="1:5">
      <c r="A22" s="88"/>
      <c r="B22" s="88"/>
      <c r="C22" s="88"/>
      <c r="D22" s="88"/>
      <c r="E22" s="89"/>
    </row>
    <row r="23" spans="1:5">
      <c r="A23" s="88"/>
      <c r="B23" s="88"/>
      <c r="C23" s="88"/>
      <c r="D23" s="88"/>
      <c r="E23" s="89"/>
    </row>
    <row r="24" spans="1:5">
      <c r="A24" s="88"/>
      <c r="B24" s="88"/>
      <c r="C24" s="88"/>
      <c r="D24" s="88"/>
      <c r="E24" s="89"/>
    </row>
    <row r="25" spans="1:5">
      <c r="A25" s="88"/>
      <c r="B25" s="88"/>
      <c r="C25" s="88"/>
      <c r="D25" s="88"/>
      <c r="E25" s="89"/>
    </row>
    <row r="26" spans="1:5">
      <c r="A26" s="88"/>
      <c r="B26" s="88"/>
      <c r="C26" s="88"/>
      <c r="D26" s="88"/>
      <c r="E26" s="89"/>
    </row>
    <row r="27" spans="1:5">
      <c r="A27" s="88"/>
      <c r="B27" s="88"/>
      <c r="C27" s="88"/>
      <c r="D27" s="88"/>
      <c r="E27" s="89"/>
    </row>
    <row r="28" spans="1:5">
      <c r="A28" s="88"/>
      <c r="B28" s="88"/>
      <c r="C28" s="88"/>
      <c r="D28" s="88"/>
      <c r="E28" s="89"/>
    </row>
    <row r="29" spans="1:5">
      <c r="A29" s="88"/>
      <c r="B29" s="88"/>
      <c r="C29" s="88"/>
      <c r="D29" s="88"/>
      <c r="E29" s="89"/>
    </row>
    <row r="30" spans="1:5">
      <c r="A30" s="88"/>
      <c r="B30" s="88"/>
      <c r="C30" s="88"/>
      <c r="D30" s="88"/>
      <c r="E30" s="89"/>
    </row>
    <row r="31" spans="1:5">
      <c r="A31" s="88"/>
      <c r="B31" s="88"/>
      <c r="C31" s="88"/>
      <c r="D31" s="88"/>
      <c r="E31" s="89"/>
    </row>
    <row r="32" spans="1:5">
      <c r="A32" s="88"/>
      <c r="B32" s="88"/>
      <c r="C32" s="88"/>
      <c r="D32" s="88"/>
      <c r="E32" s="89"/>
    </row>
    <row r="33" spans="1:5">
      <c r="A33" s="88"/>
      <c r="B33" s="88"/>
      <c r="C33" s="88"/>
      <c r="D33" s="88"/>
      <c r="E33" s="89"/>
    </row>
    <row r="34" spans="1:5">
      <c r="A34" s="88"/>
      <c r="B34" s="88"/>
      <c r="C34" s="88"/>
      <c r="D34" s="88"/>
      <c r="E34" s="89"/>
    </row>
    <row r="35" spans="1:5">
      <c r="A35" s="88"/>
      <c r="B35" s="88"/>
      <c r="C35" s="88"/>
      <c r="D35" s="88"/>
      <c r="E35" s="89"/>
    </row>
    <row r="36" spans="1:5">
      <c r="A36" s="88"/>
      <c r="B36" s="88"/>
      <c r="C36" s="88"/>
      <c r="D36" s="88"/>
      <c r="E36" s="89"/>
    </row>
    <row r="37" spans="1:5">
      <c r="A37" s="88"/>
      <c r="B37" s="88"/>
      <c r="C37" s="88"/>
      <c r="D37" s="88"/>
      <c r="E37" s="89"/>
    </row>
    <row r="38" spans="1:5">
      <c r="A38" s="88"/>
      <c r="B38" s="88"/>
      <c r="C38" s="88"/>
      <c r="D38" s="88"/>
      <c r="E38" s="89"/>
    </row>
    <row r="39" spans="1:5">
      <c r="A39" s="88"/>
      <c r="B39" s="88"/>
      <c r="C39" s="88"/>
      <c r="D39" s="88"/>
      <c r="E39" s="89"/>
    </row>
    <row r="40" spans="1:5">
      <c r="A40" s="88"/>
      <c r="B40" s="88"/>
      <c r="C40" s="88"/>
      <c r="D40" s="88"/>
      <c r="E40" s="89"/>
    </row>
    <row r="41" spans="1:5">
      <c r="A41" s="88"/>
      <c r="B41" s="88"/>
      <c r="C41" s="88"/>
      <c r="D41" s="88"/>
      <c r="E41" s="89"/>
    </row>
    <row r="42" spans="1:5">
      <c r="A42" s="88"/>
      <c r="B42" s="88"/>
      <c r="C42" s="88"/>
      <c r="D42" s="88"/>
      <c r="E42" s="89"/>
    </row>
    <row r="43" spans="1:5">
      <c r="A43" s="88"/>
      <c r="B43" s="88"/>
      <c r="C43" s="88"/>
      <c r="D43" s="88"/>
      <c r="E43" s="89"/>
    </row>
    <row r="44" spans="1:5">
      <c r="A44" s="88"/>
      <c r="B44" s="88"/>
      <c r="C44" s="88"/>
      <c r="D44" s="88"/>
      <c r="E44" s="89"/>
    </row>
    <row r="45" spans="1:5">
      <c r="A45" s="88"/>
      <c r="B45" s="88"/>
      <c r="C45" s="88"/>
      <c r="D45" s="88"/>
      <c r="E45" s="89"/>
    </row>
    <row r="46" spans="1:5">
      <c r="A46" s="88"/>
      <c r="B46" s="88"/>
      <c r="C46" s="88"/>
      <c r="D46" s="88"/>
      <c r="E46" s="89"/>
    </row>
    <row r="47" spans="1:5">
      <c r="A47" s="88"/>
      <c r="B47" s="88"/>
      <c r="C47" s="88"/>
      <c r="D47" s="88"/>
      <c r="E47" s="89"/>
    </row>
    <row r="48" spans="1:5">
      <c r="A48" s="88"/>
      <c r="B48" s="88"/>
      <c r="C48" s="88"/>
      <c r="D48" s="88"/>
      <c r="E48" s="89"/>
    </row>
    <row r="49" spans="1:5">
      <c r="A49" s="88"/>
      <c r="B49" s="88"/>
      <c r="C49" s="88"/>
      <c r="D49" s="88"/>
      <c r="E49" s="89"/>
    </row>
    <row r="50" spans="1:5">
      <c r="A50" s="88"/>
      <c r="B50" s="88"/>
      <c r="C50" s="88"/>
      <c r="D50" s="88"/>
      <c r="E50" s="89"/>
    </row>
    <row r="51" spans="1:5">
      <c r="A51" s="88"/>
      <c r="B51" s="88"/>
      <c r="C51" s="88"/>
      <c r="D51" s="88"/>
      <c r="E51" s="89"/>
    </row>
    <row r="52" spans="1:5">
      <c r="A52" s="88"/>
      <c r="B52" s="88"/>
      <c r="C52" s="88"/>
      <c r="D52" s="88"/>
      <c r="E52" s="89"/>
    </row>
    <row r="53" spans="1:5">
      <c r="A53" s="88"/>
      <c r="B53" s="88"/>
      <c r="C53" s="88"/>
      <c r="D53" s="88"/>
      <c r="E53" s="89"/>
    </row>
    <row r="54" spans="1:5">
      <c r="A54" s="88"/>
      <c r="B54" s="88"/>
      <c r="C54" s="88"/>
      <c r="D54" s="88"/>
      <c r="E54" s="89"/>
    </row>
    <row r="55" spans="1:5">
      <c r="A55" s="88"/>
      <c r="B55" s="88"/>
      <c r="C55" s="88"/>
      <c r="D55" s="88"/>
      <c r="E55" s="89"/>
    </row>
    <row r="56" spans="1:5">
      <c r="A56" s="88"/>
      <c r="B56" s="88"/>
      <c r="C56" s="88"/>
      <c r="D56" s="88"/>
      <c r="E56" s="89"/>
    </row>
    <row r="57" spans="1:5">
      <c r="A57" s="88"/>
      <c r="B57" s="88"/>
      <c r="C57" s="88"/>
      <c r="D57" s="88"/>
      <c r="E57" s="89"/>
    </row>
    <row r="58" spans="1:5">
      <c r="A58" s="88"/>
      <c r="B58" s="88"/>
      <c r="C58" s="88"/>
      <c r="D58" s="88"/>
      <c r="E58" s="89"/>
    </row>
    <row r="59" spans="1:5">
      <c r="A59" s="88"/>
      <c r="B59" s="88"/>
      <c r="C59" s="88"/>
      <c r="D59" s="88"/>
      <c r="E59" s="89"/>
    </row>
    <row r="60" spans="1:5">
      <c r="A60" s="88"/>
      <c r="B60" s="88"/>
      <c r="C60" s="88"/>
      <c r="D60" s="88"/>
      <c r="E60" s="89"/>
    </row>
    <row r="61" spans="1:5">
      <c r="A61" s="88"/>
      <c r="B61" s="88"/>
      <c r="C61" s="88"/>
      <c r="D61" s="88"/>
      <c r="E61" s="89"/>
    </row>
    <row r="62" spans="1:5">
      <c r="A62" s="88"/>
      <c r="B62" s="88"/>
      <c r="C62" s="88"/>
      <c r="D62" s="88"/>
      <c r="E62" s="89"/>
    </row>
    <row r="63" spans="1:5">
      <c r="A63" s="88"/>
      <c r="B63" s="88"/>
      <c r="C63" s="88"/>
      <c r="D63" s="88"/>
      <c r="E63" s="89"/>
    </row>
    <row r="64" spans="1:5">
      <c r="A64" s="88"/>
      <c r="B64" s="88"/>
      <c r="C64" s="88"/>
      <c r="D64" s="88"/>
      <c r="E64" s="89"/>
    </row>
    <row r="65" spans="1:5">
      <c r="A65" s="88"/>
      <c r="B65" s="88"/>
      <c r="C65" s="88"/>
      <c r="D65" s="88"/>
      <c r="E65" s="89"/>
    </row>
    <row r="66" spans="1:5">
      <c r="A66" s="88"/>
      <c r="B66" s="88"/>
      <c r="C66" s="88"/>
      <c r="D66" s="88"/>
      <c r="E66" s="89"/>
    </row>
    <row r="67" spans="1:5">
      <c r="A67" s="88"/>
      <c r="B67" s="88"/>
      <c r="C67" s="88"/>
      <c r="D67" s="88"/>
      <c r="E67" s="89"/>
    </row>
    <row r="68" spans="1:5">
      <c r="A68" s="88"/>
      <c r="B68" s="88"/>
      <c r="C68" s="88"/>
      <c r="D68" s="88"/>
      <c r="E68" s="89"/>
    </row>
    <row r="69" spans="1:5">
      <c r="A69" s="88"/>
      <c r="B69" s="88"/>
      <c r="C69" s="88"/>
      <c r="D69" s="88"/>
      <c r="E69" s="89"/>
    </row>
    <row r="70" spans="1:5">
      <c r="A70" s="88"/>
      <c r="B70" s="88"/>
      <c r="C70" s="88"/>
      <c r="D70" s="88"/>
      <c r="E70" s="89"/>
    </row>
    <row r="71" spans="1:5">
      <c r="A71" s="88"/>
      <c r="B71" s="88"/>
      <c r="C71" s="88"/>
      <c r="D71" s="88"/>
      <c r="E71" s="89"/>
    </row>
    <row r="72" spans="1:5">
      <c r="A72" s="88"/>
      <c r="B72" s="88"/>
      <c r="C72" s="88"/>
      <c r="D72" s="88"/>
      <c r="E72" s="89"/>
    </row>
    <row r="73" spans="1:5">
      <c r="A73" s="88"/>
      <c r="B73" s="88"/>
      <c r="C73" s="88"/>
      <c r="D73" s="88"/>
      <c r="E73" s="89"/>
    </row>
    <row r="74" spans="1:5">
      <c r="A74" s="88"/>
      <c r="B74" s="88"/>
      <c r="C74" s="88"/>
      <c r="D74" s="88"/>
      <c r="E74" s="89"/>
    </row>
    <row r="75" spans="1:5">
      <c r="A75" s="88"/>
      <c r="B75" s="88"/>
      <c r="C75" s="88"/>
      <c r="D75" s="88"/>
      <c r="E75" s="89"/>
    </row>
    <row r="76" spans="1:5">
      <c r="A76" s="88"/>
      <c r="B76" s="88"/>
      <c r="C76" s="88"/>
      <c r="D76" s="88"/>
      <c r="E76" s="89"/>
    </row>
    <row r="77" spans="1:5">
      <c r="A77" s="88"/>
      <c r="B77" s="88"/>
      <c r="C77" s="88"/>
      <c r="D77" s="88"/>
      <c r="E77" s="89"/>
    </row>
    <row r="78" spans="1:5">
      <c r="A78" s="88"/>
      <c r="B78" s="88"/>
      <c r="C78" s="88"/>
      <c r="D78" s="88"/>
      <c r="E78" s="89"/>
    </row>
    <row r="79" spans="1:5">
      <c r="A79" s="88"/>
      <c r="B79" s="88"/>
      <c r="C79" s="88"/>
      <c r="D79" s="88"/>
      <c r="E79" s="89"/>
    </row>
    <row r="80" spans="1:5">
      <c r="A80" s="88"/>
      <c r="B80" s="88"/>
      <c r="C80" s="88"/>
      <c r="D80" s="88"/>
      <c r="E80" s="89"/>
    </row>
    <row r="81" spans="1:5">
      <c r="A81" s="88"/>
      <c r="B81" s="88"/>
      <c r="C81" s="88"/>
      <c r="D81" s="88"/>
      <c r="E81" s="89"/>
    </row>
    <row r="82" spans="1:5">
      <c r="A82" s="88"/>
      <c r="B82" s="88"/>
      <c r="C82" s="88"/>
      <c r="D82" s="88"/>
      <c r="E82" s="89"/>
    </row>
    <row r="83" spans="1:5">
      <c r="A83" s="88"/>
      <c r="B83" s="88"/>
      <c r="C83" s="88"/>
      <c r="D83" s="88"/>
      <c r="E83" s="89"/>
    </row>
    <row r="84" spans="1:5">
      <c r="A84" s="88"/>
      <c r="B84" s="88"/>
      <c r="C84" s="88"/>
      <c r="D84" s="88"/>
      <c r="E84" s="89"/>
    </row>
  </sheetData>
  <autoFilter ref="A4:E63"/>
  <pageMargins left="0.70866141732283472" right="0.70866141732283472" top="0.74803149606299213" bottom="0.74803149606299213" header="0.31496062992125984" footer="0.31496062992125984"/>
  <pageSetup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L43"/>
  <sheetViews>
    <sheetView showGridLines="0" workbookViewId="0">
      <pane ySplit="7" topLeftCell="A8" activePane="bottomLeft" state="frozen"/>
      <selection pane="bottomLeft" activeCell="A16" sqref="A16"/>
    </sheetView>
  </sheetViews>
  <sheetFormatPr baseColWidth="10" defaultColWidth="10.85546875" defaultRowHeight="18.75"/>
  <cols>
    <col min="1" max="1" width="40.140625" style="164" customWidth="1"/>
    <col min="2" max="2" width="8.85546875" style="165" hidden="1" customWidth="1"/>
    <col min="3" max="3" width="17.5703125" style="163" customWidth="1"/>
    <col min="4" max="4" width="18" style="163" bestFit="1" customWidth="1"/>
    <col min="5" max="5" width="18" style="163" customWidth="1"/>
    <col min="6" max="6" width="15.140625" style="163" customWidth="1"/>
    <col min="7" max="7" width="2.140625" style="163" customWidth="1"/>
    <col min="8" max="8" width="14.5703125" style="163" customWidth="1"/>
    <col min="9" max="9" width="2.28515625" style="163" customWidth="1"/>
    <col min="10" max="10" width="10.85546875" style="163"/>
    <col min="11" max="11" width="13.140625" style="163" bestFit="1" customWidth="1"/>
    <col min="12" max="12" width="12.42578125" style="163" bestFit="1" customWidth="1"/>
    <col min="13" max="16384" width="10.85546875" style="163"/>
  </cols>
  <sheetData>
    <row r="1" spans="1:12" ht="13.5" customHeight="1">
      <c r="A1" s="344" t="s">
        <v>482</v>
      </c>
      <c r="B1" s="345"/>
      <c r="C1" s="345"/>
      <c r="D1" s="345"/>
      <c r="E1" s="346" t="s">
        <v>491</v>
      </c>
      <c r="F1" s="346"/>
      <c r="G1" s="346"/>
      <c r="H1" s="346"/>
    </row>
    <row r="2" spans="1:12" ht="15" customHeight="1">
      <c r="A2" s="345"/>
      <c r="B2" s="345"/>
      <c r="C2" s="345"/>
      <c r="D2" s="345"/>
      <c r="E2" s="175" t="s">
        <v>484</v>
      </c>
      <c r="F2" s="347">
        <f>F6</f>
        <v>0.3145365571922753</v>
      </c>
      <c r="G2" s="348"/>
      <c r="H2" s="180" t="s">
        <v>492</v>
      </c>
    </row>
    <row r="3" spans="1:12" ht="15" customHeight="1">
      <c r="A3" s="345"/>
      <c r="B3" s="345"/>
      <c r="C3" s="345"/>
      <c r="D3" s="345"/>
      <c r="E3" s="175" t="s">
        <v>485</v>
      </c>
      <c r="F3" s="347">
        <f>H6</f>
        <v>0.13164729892366475</v>
      </c>
      <c r="G3" s="348"/>
      <c r="H3" s="181">
        <f>REPORTE_ENTIDAD!C3</f>
        <v>45026</v>
      </c>
    </row>
    <row r="5" spans="1:12" s="166" customFormat="1" ht="15">
      <c r="A5" s="168" t="s">
        <v>486</v>
      </c>
      <c r="B5" s="169" t="s">
        <v>480</v>
      </c>
      <c r="C5" s="169" t="s">
        <v>444</v>
      </c>
      <c r="D5" s="169" t="s">
        <v>445</v>
      </c>
      <c r="E5" s="169" t="s">
        <v>446</v>
      </c>
      <c r="F5" s="169" t="s">
        <v>447</v>
      </c>
      <c r="G5" s="169"/>
      <c r="H5" s="170" t="s">
        <v>448</v>
      </c>
      <c r="I5" s="169"/>
      <c r="K5" s="346" t="s">
        <v>495</v>
      </c>
      <c r="L5" s="346"/>
    </row>
    <row r="6" spans="1:12" s="166" customFormat="1" ht="15">
      <c r="A6" s="171" t="s">
        <v>483</v>
      </c>
      <c r="B6" s="172" t="s">
        <v>245</v>
      </c>
      <c r="C6" s="174">
        <f>VLOOKUP($B6,REPORTE_ENTIDAD!$A$6:$AF$12,6,FALSE)*1000000</f>
        <v>1407601587028</v>
      </c>
      <c r="D6" s="174">
        <f>VLOOKUP($B6,REPORTE_ENTIDAD!$A$6:$AF$12,11,FALSE)*1000000</f>
        <v>442742157082.16998</v>
      </c>
      <c r="E6" s="174">
        <f>VLOOKUP($B6,REPORTE_ENTIDAD!$A$6:$AF$12,17,FALSE)*1000000</f>
        <v>185306946892.90002</v>
      </c>
      <c r="F6" s="173">
        <f>IF($C6=0,0,D6/$C6)</f>
        <v>0.3145365571922753</v>
      </c>
      <c r="G6" s="173">
        <f>IF(F6/K6&gt;=1,1,IF(AND(F6/K6&lt;1,F6/K6&gt;=0.85),2,3))</f>
        <v>3</v>
      </c>
      <c r="H6" s="173">
        <f>IF($C6=0,0,E6/$C6)</f>
        <v>0.13164729892366475</v>
      </c>
      <c r="I6" s="173">
        <f>IF(H6/L6&gt;=1,1,IF(AND(H6/L6&lt;1,H6/L6&gt;=0.85),2,3))</f>
        <v>3</v>
      </c>
      <c r="J6" s="179"/>
      <c r="K6" s="173">
        <f>VLOOKUP($B6,META!$A$3:$M$9,MONTH($H$3)+1,FALSE)</f>
        <v>0.37893901958783943</v>
      </c>
      <c r="L6" s="173">
        <f>VLOOKUP($B6,META!$A$12:$M$18,MONTH($H$3)+1,FALSE)</f>
        <v>0.21176096031805916</v>
      </c>
    </row>
    <row r="7" spans="1:12" s="166" customFormat="1" ht="15">
      <c r="A7" s="168" t="s">
        <v>0</v>
      </c>
      <c r="B7" s="169" t="s">
        <v>480</v>
      </c>
      <c r="C7" s="169" t="s">
        <v>444</v>
      </c>
      <c r="D7" s="169" t="s">
        <v>445</v>
      </c>
      <c r="E7" s="169" t="s">
        <v>446</v>
      </c>
      <c r="F7" s="169" t="s">
        <v>447</v>
      </c>
      <c r="G7" s="169"/>
      <c r="H7" s="170" t="s">
        <v>448</v>
      </c>
      <c r="I7" s="169"/>
      <c r="K7" s="169" t="s">
        <v>447</v>
      </c>
      <c r="L7" s="170" t="s">
        <v>448</v>
      </c>
    </row>
    <row r="8" spans="1:12" s="166" customFormat="1" ht="21.95" customHeight="1">
      <c r="A8" s="176" t="s">
        <v>481</v>
      </c>
      <c r="B8" s="167" t="s">
        <v>6</v>
      </c>
      <c r="C8" s="174">
        <f>VLOOKUP($B8,REPORTE_ENTIDAD!$A$6:$AF$11,6,FALSE)*1000000</f>
        <v>339317436122</v>
      </c>
      <c r="D8" s="174">
        <f>VLOOKUP($B8,REPORTE_ENTIDAD!$A$6:$AF$11,11,FALSE)*1000000</f>
        <v>138559881089.92999</v>
      </c>
      <c r="E8" s="174">
        <f>VLOOKUP($B8,REPORTE_ENTIDAD!$A$6:$AF$11,17,FALSE)*1000000</f>
        <v>36097380747.970001</v>
      </c>
      <c r="F8" s="173">
        <f>IF($C8=0,0,D8/$C8)</f>
        <v>0.40834883899131974</v>
      </c>
      <c r="G8" s="173">
        <f t="shared" ref="G8:G43" si="0">IF(F8/K8&gt;=1,1,IF(AND(F8/K8&lt;1,F8/K8&gt;=0.85),2,3))</f>
        <v>3</v>
      </c>
      <c r="H8" s="173">
        <f>IF($C8=0,0,E8/$C8)</f>
        <v>0.10638233378314033</v>
      </c>
      <c r="I8" s="173">
        <f t="shared" ref="I8:I43" si="1">IF(H8/L8&gt;=1,1,IF(AND(H8/L8&lt;1,H8/L8&gt;=0.85),2,3))</f>
        <v>3</v>
      </c>
      <c r="J8" s="179"/>
      <c r="K8" s="173">
        <f>VLOOKUP($B8,META!$A$3:$M$9,MONTH($H$3)+1,FALSE)</f>
        <v>0.61019999999999996</v>
      </c>
      <c r="L8" s="173">
        <f>VLOOKUP($B8,META!$A$12:$M$18,MONTH($H$3)+1,FALSE)</f>
        <v>0.28407351903781308</v>
      </c>
    </row>
    <row r="9" spans="1:12" s="166" customFormat="1" ht="21.95" customHeight="1">
      <c r="A9" s="176" t="s">
        <v>489</v>
      </c>
      <c r="B9" s="167" t="s">
        <v>237</v>
      </c>
      <c r="C9" s="174">
        <f>VLOOKUP($B9,REPORTE_ENTIDAD!$A$6:$AF$11,6,FALSE)*1000000</f>
        <v>147008858567</v>
      </c>
      <c r="D9" s="174">
        <f>VLOOKUP($B9,REPORTE_ENTIDAD!$A$6:$AF$11,11,FALSE)*1000000</f>
        <v>53916312356.519997</v>
      </c>
      <c r="E9" s="174">
        <f>VLOOKUP($B9,REPORTE_ENTIDAD!$A$6:$AF$11,17,FALSE)*1000000</f>
        <v>11143622837.34</v>
      </c>
      <c r="F9" s="173">
        <f>IF($C9=0,0,D9/$C9)</f>
        <v>0.3667555335241745</v>
      </c>
      <c r="G9" s="173">
        <f t="shared" si="0"/>
        <v>3</v>
      </c>
      <c r="H9" s="173">
        <f t="shared" ref="H9:H43" si="2">IF($C9=0,0,E9/$C9)</f>
        <v>7.5802390046183776E-2</v>
      </c>
      <c r="I9" s="173">
        <f t="shared" si="1"/>
        <v>3</v>
      </c>
      <c r="K9" s="173">
        <f>VLOOKUP($B9,META!$A$3:$M$9,MONTH($H$3)+1,FALSE)</f>
        <v>0.44</v>
      </c>
      <c r="L9" s="173">
        <f>VLOOKUP($B9,META!$A$12:$M$18,MONTH($H$3)+1,FALSE)</f>
        <v>0.19410027649517092</v>
      </c>
    </row>
    <row r="10" spans="1:12" s="166" customFormat="1" ht="21.95" customHeight="1">
      <c r="A10" s="176" t="s">
        <v>488</v>
      </c>
      <c r="B10" s="167" t="s">
        <v>7</v>
      </c>
      <c r="C10" s="174">
        <f>VLOOKUP($B10,REPORTE_ENTIDAD!$A$6:$AF$11,6,FALSE)*1000000</f>
        <v>85592112941</v>
      </c>
      <c r="D10" s="174">
        <f>VLOOKUP($B10,REPORTE_ENTIDAD!$A$6:$AF$11,11,FALSE)*1000000</f>
        <v>27307766154.18</v>
      </c>
      <c r="E10" s="174">
        <f>VLOOKUP($B10,REPORTE_ENTIDAD!$A$6:$AF$11,17,FALSE)*1000000</f>
        <v>14967480010.84</v>
      </c>
      <c r="F10" s="173">
        <f t="shared" ref="F10:F43" si="3">IF($C10=0,0,D10/$C10)</f>
        <v>0.31904535611831053</v>
      </c>
      <c r="G10" s="173">
        <f t="shared" si="0"/>
        <v>3</v>
      </c>
      <c r="H10" s="173">
        <f t="shared" si="2"/>
        <v>0.17486985069707675</v>
      </c>
      <c r="I10" s="173">
        <f t="shared" si="1"/>
        <v>3</v>
      </c>
      <c r="K10" s="173">
        <f>VLOOKUP($B10,META!$A$3:$M$9,MONTH($H$3)+1,FALSE)</f>
        <v>0.3776880788418423</v>
      </c>
      <c r="L10" s="173">
        <f>VLOOKUP($B10,META!$A$12:$M$18,MONTH($H$3)+1,FALSE)</f>
        <v>0.29559046486270907</v>
      </c>
    </row>
    <row r="11" spans="1:12" s="166" customFormat="1" ht="21.95" customHeight="1">
      <c r="A11" s="176" t="s">
        <v>487</v>
      </c>
      <c r="B11" s="167" t="s">
        <v>8</v>
      </c>
      <c r="C11" s="174">
        <f>VLOOKUP($B11,REPORTE_ENTIDAD!$A$6:$AF$11,6,FALSE)*1000000</f>
        <v>90559823414</v>
      </c>
      <c r="D11" s="174">
        <f>VLOOKUP($B11,REPORTE_ENTIDAD!$A$6:$AF$11,11,FALSE)*1000000</f>
        <v>21905827396.529999</v>
      </c>
      <c r="E11" s="174">
        <f>VLOOKUP($B11,REPORTE_ENTIDAD!$A$6:$AF$11,17,FALSE)*1000000</f>
        <v>9128979293.8600006</v>
      </c>
      <c r="F11" s="173">
        <f t="shared" si="3"/>
        <v>0.24189344204422875</v>
      </c>
      <c r="G11" s="173">
        <f t="shared" si="0"/>
        <v>3</v>
      </c>
      <c r="H11" s="173">
        <f t="shared" si="2"/>
        <v>0.1008060633259662</v>
      </c>
      <c r="I11" s="173">
        <f t="shared" si="1"/>
        <v>3</v>
      </c>
      <c r="K11" s="173">
        <f>VLOOKUP($B11,META!$A$3:$M$9,MONTH($H$3)+1,FALSE)</f>
        <v>0.48024844155513563</v>
      </c>
      <c r="L11" s="173">
        <f>VLOOKUP($B11,META!$A$12:$M$18,MONTH($H$3)+1,FALSE)</f>
        <v>0.29964822438673538</v>
      </c>
    </row>
    <row r="12" spans="1:12" s="166" customFormat="1" ht="21.95" customHeight="1">
      <c r="A12" s="176" t="s">
        <v>490</v>
      </c>
      <c r="B12" s="167" t="s">
        <v>9</v>
      </c>
      <c r="C12" s="174">
        <f>VLOOKUP($B12,REPORTE_ENTIDAD!$A$6:$AF$11,6,FALSE)*1000000</f>
        <v>614717629451</v>
      </c>
      <c r="D12" s="174">
        <f>VLOOKUP($B12,REPORTE_ENTIDAD!$A$6:$AF$11,11,FALSE)*1000000</f>
        <v>160777855724.06</v>
      </c>
      <c r="E12" s="174">
        <f>VLOOKUP($B12,REPORTE_ENTIDAD!$A$6:$AF$11,17,FALSE)*1000000</f>
        <v>91477709349.139999</v>
      </c>
      <c r="F12" s="173">
        <f t="shared" si="3"/>
        <v>0.26154749436363095</v>
      </c>
      <c r="G12" s="173">
        <f t="shared" si="0"/>
        <v>3</v>
      </c>
      <c r="H12" s="173">
        <f t="shared" si="2"/>
        <v>0.14881256851351099</v>
      </c>
      <c r="I12" s="173">
        <f t="shared" si="1"/>
        <v>3</v>
      </c>
      <c r="K12" s="173">
        <f>VLOOKUP($B12,META!$A$3:$M$9,MONTH($H$3)+1,FALSE)</f>
        <v>0.37596551661246874</v>
      </c>
      <c r="L12" s="173">
        <f>VLOOKUP($B12,META!$A$12:$M$18,MONTH($H$3)+1,FALSE)</f>
        <v>0.2355738417895088</v>
      </c>
    </row>
    <row r="13" spans="1:12" s="166" customFormat="1" ht="21.95" customHeight="1">
      <c r="A13" s="177" t="s">
        <v>493</v>
      </c>
      <c r="B13" s="167" t="s">
        <v>392</v>
      </c>
      <c r="C13" s="174">
        <f>VLOOKUP($B13,REPORTE_ENTIDAD!$A$151:$AF$182,6,FALSE)*1000000</f>
        <v>0</v>
      </c>
      <c r="D13" s="174">
        <f>VLOOKUP($B13,REPORTE_ENTIDAD!$A$151:$AF$182,11,FALSE)*1000000</f>
        <v>0</v>
      </c>
      <c r="E13" s="174">
        <f>VLOOKUP($B13,REPORTE_ENTIDAD!$A$151:$AF$182,17,FALSE)*1000000</f>
        <v>0</v>
      </c>
      <c r="F13" s="173">
        <f t="shared" si="3"/>
        <v>0</v>
      </c>
      <c r="G13" s="173">
        <f t="shared" si="0"/>
        <v>3</v>
      </c>
      <c r="H13" s="173">
        <f t="shared" si="2"/>
        <v>0</v>
      </c>
      <c r="I13" s="173">
        <f t="shared" si="1"/>
        <v>3</v>
      </c>
      <c r="K13" s="173">
        <f>VLOOKUP("CARS",META!$A$3:$M$9,MONTH($H$3)+1,FALSE)</f>
        <v>7.3040820587530558E-2</v>
      </c>
      <c r="L13" s="173">
        <f>VLOOKUP("CARS",META!$A$12:$M$18,MONTH($H$3)+1,FALSE)</f>
        <v>4.2446008940387095E-2</v>
      </c>
    </row>
    <row r="14" spans="1:12" s="166" customFormat="1" ht="21.95" customHeight="1">
      <c r="A14" s="177" t="s">
        <v>449</v>
      </c>
      <c r="B14" s="167" t="s">
        <v>52</v>
      </c>
      <c r="C14" s="174">
        <f>VLOOKUP($B14,REPORTE_ENTIDAD!$A$151:$AF$182,6,FALSE)*1000000</f>
        <v>4718989654</v>
      </c>
      <c r="D14" s="174">
        <f>VLOOKUP($B14,REPORTE_ENTIDAD!$A$151:$AF$182,11,FALSE)*1000000</f>
        <v>1156628372</v>
      </c>
      <c r="E14" s="174">
        <f>VLOOKUP($B14,REPORTE_ENTIDAD!$A$151:$AF$182,17,FALSE)*1000000</f>
        <v>1054726263.9999999</v>
      </c>
      <c r="F14" s="173">
        <f t="shared" si="3"/>
        <v>0.24510084929294063</v>
      </c>
      <c r="G14" s="173">
        <f t="shared" si="0"/>
        <v>1</v>
      </c>
      <c r="H14" s="173">
        <f t="shared" si="2"/>
        <v>0.22350679728784162</v>
      </c>
      <c r="I14" s="173">
        <f t="shared" si="1"/>
        <v>1</v>
      </c>
      <c r="K14" s="173">
        <f>VLOOKUP("CARS",META!$A$3:$M$9,MONTH($H$3)+1,FALSE)</f>
        <v>7.3040820587530558E-2</v>
      </c>
      <c r="L14" s="173">
        <f>VLOOKUP("CARS",META!$A$12:$M$18,MONTH($H$3)+1,FALSE)</f>
        <v>4.2446008940387095E-2</v>
      </c>
    </row>
    <row r="15" spans="1:12" s="166" customFormat="1" ht="21.95" customHeight="1">
      <c r="A15" s="177" t="s">
        <v>450</v>
      </c>
      <c r="B15" s="167" t="s">
        <v>50</v>
      </c>
      <c r="C15" s="174">
        <f>VLOOKUP($B15,REPORTE_ENTIDAD!$A$151:$AF$182,6,FALSE)*1000000</f>
        <v>5751614805</v>
      </c>
      <c r="D15" s="174">
        <f>VLOOKUP($B15,REPORTE_ENTIDAD!$A$151:$AF$182,11,FALSE)*1000000</f>
        <v>1125100723.71</v>
      </c>
      <c r="E15" s="174">
        <f>VLOOKUP($B15,REPORTE_ENTIDAD!$A$151:$AF$182,17,FALSE)*1000000</f>
        <v>1125100723.71</v>
      </c>
      <c r="F15" s="173">
        <f t="shared" si="3"/>
        <v>0.19561475548256921</v>
      </c>
      <c r="G15" s="173">
        <f t="shared" si="0"/>
        <v>1</v>
      </c>
      <c r="H15" s="173">
        <f t="shared" si="2"/>
        <v>0.19561475548256921</v>
      </c>
      <c r="I15" s="173">
        <f t="shared" si="1"/>
        <v>1</v>
      </c>
      <c r="K15" s="173">
        <f>VLOOKUP("CARS",META!$A$3:$M$9,MONTH($H$3)+1,FALSE)</f>
        <v>7.3040820587530558E-2</v>
      </c>
      <c r="L15" s="173">
        <f>VLOOKUP("CARS",META!$A$12:$M$18,MONTH($H$3)+1,FALSE)</f>
        <v>4.2446008940387095E-2</v>
      </c>
    </row>
    <row r="16" spans="1:12" s="166" customFormat="1" ht="21.95" customHeight="1">
      <c r="A16" s="177" t="s">
        <v>451</v>
      </c>
      <c r="B16" s="167" t="s">
        <v>46</v>
      </c>
      <c r="C16" s="174">
        <f>VLOOKUP($B16,REPORTE_ENTIDAD!$A$151:$AF$182,6,FALSE)*1000000</f>
        <v>5196048940</v>
      </c>
      <c r="D16" s="174">
        <f>VLOOKUP($B16,REPORTE_ENTIDAD!$A$151:$AF$182,11,FALSE)*1000000</f>
        <v>1163017073</v>
      </c>
      <c r="E16" s="174">
        <f>VLOOKUP($B16,REPORTE_ENTIDAD!$A$151:$AF$182,17,FALSE)*1000000</f>
        <v>1163017073</v>
      </c>
      <c r="F16" s="173">
        <f t="shared" si="3"/>
        <v>0.22382719763220707</v>
      </c>
      <c r="G16" s="173">
        <f t="shared" si="0"/>
        <v>1</v>
      </c>
      <c r="H16" s="173">
        <f t="shared" si="2"/>
        <v>0.22382719763220707</v>
      </c>
      <c r="I16" s="173">
        <f t="shared" si="1"/>
        <v>1</v>
      </c>
      <c r="K16" s="173">
        <f>VLOOKUP("CARS",META!$A$3:$M$9,MONTH($H$3)+1,FALSE)</f>
        <v>7.3040820587530558E-2</v>
      </c>
      <c r="L16" s="173">
        <f>VLOOKUP("CARS",META!$A$12:$M$18,MONTH($H$3)+1,FALSE)</f>
        <v>4.2446008940387095E-2</v>
      </c>
    </row>
    <row r="17" spans="1:12" s="166" customFormat="1" ht="21.95" customHeight="1">
      <c r="A17" s="177" t="s">
        <v>452</v>
      </c>
      <c r="B17" s="167" t="s">
        <v>39</v>
      </c>
      <c r="C17" s="174">
        <f>VLOOKUP($B17,REPORTE_ENTIDAD!$A$151:$AF$182,6,FALSE)*1000000</f>
        <v>4447705576</v>
      </c>
      <c r="D17" s="174">
        <f>VLOOKUP($B17,REPORTE_ENTIDAD!$A$151:$AF$182,11,FALSE)*1000000</f>
        <v>869443158</v>
      </c>
      <c r="E17" s="174">
        <f>VLOOKUP($B17,REPORTE_ENTIDAD!$A$151:$AF$182,17,FALSE)*1000000</f>
        <v>830443158</v>
      </c>
      <c r="F17" s="173">
        <f t="shared" si="3"/>
        <v>0.1954812752650604</v>
      </c>
      <c r="G17" s="173">
        <f t="shared" si="0"/>
        <v>1</v>
      </c>
      <c r="H17" s="173">
        <f t="shared" si="2"/>
        <v>0.18671270924071617</v>
      </c>
      <c r="I17" s="173">
        <f t="shared" si="1"/>
        <v>1</v>
      </c>
      <c r="K17" s="173">
        <f>VLOOKUP("CARS",META!$A$3:$M$9,MONTH($H$3)+1,FALSE)</f>
        <v>7.3040820587530558E-2</v>
      </c>
      <c r="L17" s="173">
        <f>VLOOKUP("CARS",META!$A$12:$M$18,MONTH($H$3)+1,FALSE)</f>
        <v>4.2446008940387095E-2</v>
      </c>
    </row>
    <row r="18" spans="1:12" s="166" customFormat="1" ht="21.95" customHeight="1">
      <c r="A18" s="177" t="s">
        <v>453</v>
      </c>
      <c r="B18" s="167" t="s">
        <v>30</v>
      </c>
      <c r="C18" s="174">
        <f>VLOOKUP($B18,REPORTE_ENTIDAD!$A$151:$AF$182,6,FALSE)*1000000</f>
        <v>5973005357</v>
      </c>
      <c r="D18" s="174">
        <f>VLOOKUP($B18,REPORTE_ENTIDAD!$A$151:$AF$182,11,FALSE)*1000000</f>
        <v>4757480350</v>
      </c>
      <c r="E18" s="174">
        <f>VLOOKUP($B18,REPORTE_ENTIDAD!$A$151:$AF$182,17,FALSE)*1000000</f>
        <v>1108876393</v>
      </c>
      <c r="F18" s="173">
        <f t="shared" si="3"/>
        <v>0.79649691665260636</v>
      </c>
      <c r="G18" s="173">
        <f t="shared" si="0"/>
        <v>1</v>
      </c>
      <c r="H18" s="173">
        <f t="shared" si="2"/>
        <v>0.18564798233446486</v>
      </c>
      <c r="I18" s="173">
        <f t="shared" si="1"/>
        <v>1</v>
      </c>
      <c r="K18" s="173">
        <f>VLOOKUP("CARS",META!$A$3:$M$9,MONTH($H$3)+1,FALSE)</f>
        <v>7.3040820587530558E-2</v>
      </c>
      <c r="L18" s="173">
        <f>VLOOKUP("CARS",META!$A$12:$M$18,MONTH($H$3)+1,FALSE)</f>
        <v>4.2446008940387095E-2</v>
      </c>
    </row>
    <row r="19" spans="1:12" s="166" customFormat="1" ht="21.95" customHeight="1">
      <c r="A19" s="177" t="s">
        <v>454</v>
      </c>
      <c r="B19" s="167" t="s">
        <v>455</v>
      </c>
      <c r="C19" s="174">
        <f>VLOOKUP($B19,REPORTE_ENTIDAD!$A$151:$AF$182,6,FALSE)*1000000</f>
        <v>1339265000</v>
      </c>
      <c r="D19" s="174">
        <f>VLOOKUP($B19,REPORTE_ENTIDAD!$A$151:$AF$182,11,FALSE)*1000000</f>
        <v>1339265000</v>
      </c>
      <c r="E19" s="174">
        <f>VLOOKUP($B19,REPORTE_ENTIDAD!$A$151:$AF$182,17,FALSE)*1000000</f>
        <v>223210826</v>
      </c>
      <c r="F19" s="173">
        <f t="shared" si="3"/>
        <v>1</v>
      </c>
      <c r="G19" s="173">
        <f t="shared" si="0"/>
        <v>1</v>
      </c>
      <c r="H19" s="173">
        <f t="shared" si="2"/>
        <v>0.16666666119102641</v>
      </c>
      <c r="I19" s="173">
        <f t="shared" si="1"/>
        <v>1</v>
      </c>
      <c r="K19" s="173">
        <f>VLOOKUP("CARS",META!$A$3:$M$9,MONTH($H$3)+1,FALSE)</f>
        <v>7.3040820587530558E-2</v>
      </c>
      <c r="L19" s="173">
        <f>VLOOKUP("CARS",META!$A$12:$M$18,MONTH($H$3)+1,FALSE)</f>
        <v>4.2446008940387095E-2</v>
      </c>
    </row>
    <row r="20" spans="1:12" s="166" customFormat="1" ht="21.95" customHeight="1">
      <c r="A20" s="177" t="s">
        <v>456</v>
      </c>
      <c r="B20" s="167" t="s">
        <v>48</v>
      </c>
      <c r="C20" s="174">
        <f>VLOOKUP($B20,REPORTE_ENTIDAD!$A$151:$AF$182,6,FALSE)*1000000</f>
        <v>6963203146</v>
      </c>
      <c r="D20" s="174">
        <f>VLOOKUP($B20,REPORTE_ENTIDAD!$A$151:$AF$182,11,FALSE)*1000000</f>
        <v>487790483</v>
      </c>
      <c r="E20" s="174">
        <f>VLOOKUP($B20,REPORTE_ENTIDAD!$A$151:$AF$182,17,FALSE)*1000000</f>
        <v>487790483</v>
      </c>
      <c r="F20" s="173">
        <f t="shared" si="3"/>
        <v>7.0052599755072553E-2</v>
      </c>
      <c r="G20" s="173">
        <f t="shared" si="0"/>
        <v>2</v>
      </c>
      <c r="H20" s="173">
        <f t="shared" si="2"/>
        <v>7.0052599755072553E-2</v>
      </c>
      <c r="I20" s="173">
        <f t="shared" si="1"/>
        <v>1</v>
      </c>
      <c r="K20" s="173">
        <f>VLOOKUP("CARS",META!$A$3:$M$9,MONTH($H$3)+1,FALSE)</f>
        <v>7.3040820587530558E-2</v>
      </c>
      <c r="L20" s="173">
        <f>VLOOKUP("CARS",META!$A$12:$M$18,MONTH($H$3)+1,FALSE)</f>
        <v>4.2446008940387095E-2</v>
      </c>
    </row>
    <row r="21" spans="1:12" s="166" customFormat="1" ht="21.95" customHeight="1">
      <c r="A21" s="177" t="s">
        <v>457</v>
      </c>
      <c r="B21" s="167" t="s">
        <v>25</v>
      </c>
      <c r="C21" s="174">
        <f>VLOOKUP($B21,REPORTE_ENTIDAD!$A$151:$AF$182,6,FALSE)*1000000</f>
        <v>3337529943</v>
      </c>
      <c r="D21" s="174">
        <f>VLOOKUP($B21,REPORTE_ENTIDAD!$A$151:$AF$182,11,FALSE)*1000000</f>
        <v>668099992</v>
      </c>
      <c r="E21" s="174">
        <f>VLOOKUP($B21,REPORTE_ENTIDAD!$A$151:$AF$182,17,FALSE)*1000000</f>
        <v>668099992</v>
      </c>
      <c r="F21" s="173">
        <f t="shared" si="3"/>
        <v>0.20017797695006329</v>
      </c>
      <c r="G21" s="173">
        <f t="shared" si="0"/>
        <v>1</v>
      </c>
      <c r="H21" s="173">
        <f t="shared" si="2"/>
        <v>0.20017797695006329</v>
      </c>
      <c r="I21" s="173">
        <f t="shared" si="1"/>
        <v>1</v>
      </c>
      <c r="K21" s="173">
        <f>VLOOKUP("CARS",META!$A$3:$M$9,MONTH($H$3)+1,FALSE)</f>
        <v>7.3040820587530558E-2</v>
      </c>
      <c r="L21" s="173">
        <f>VLOOKUP("CARS",META!$A$12:$M$18,MONTH($H$3)+1,FALSE)</f>
        <v>4.2446008940387095E-2</v>
      </c>
    </row>
    <row r="22" spans="1:12" s="166" customFormat="1" ht="21.95" customHeight="1">
      <c r="A22" s="177" t="s">
        <v>458</v>
      </c>
      <c r="B22" s="167" t="s">
        <v>281</v>
      </c>
      <c r="C22" s="174">
        <f>VLOOKUP($B22,REPORTE_ENTIDAD!$A$151:$AF$182,6,FALSE)*1000000</f>
        <v>2779017000</v>
      </c>
      <c r="D22" s="174">
        <f>VLOOKUP($B22,REPORTE_ENTIDAD!$A$151:$AF$182,11,FALSE)*1000000</f>
        <v>934936057</v>
      </c>
      <c r="E22" s="174">
        <f>VLOOKUP($B22,REPORTE_ENTIDAD!$A$151:$AF$182,17,FALSE)*1000000</f>
        <v>934936057</v>
      </c>
      <c r="F22" s="173">
        <f t="shared" si="3"/>
        <v>0.33642689375415841</v>
      </c>
      <c r="G22" s="173">
        <f t="shared" si="0"/>
        <v>1</v>
      </c>
      <c r="H22" s="173">
        <f t="shared" si="2"/>
        <v>0.33642689375415841</v>
      </c>
      <c r="I22" s="173">
        <f t="shared" si="1"/>
        <v>1</v>
      </c>
      <c r="K22" s="173">
        <f>VLOOKUP("CARS",META!$A$3:$M$9,MONTH($H$3)+1,FALSE)</f>
        <v>7.3040820587530558E-2</v>
      </c>
      <c r="L22" s="173">
        <f>VLOOKUP("CARS",META!$A$12:$M$18,MONTH($H$3)+1,FALSE)</f>
        <v>4.2446008940387095E-2</v>
      </c>
    </row>
    <row r="23" spans="1:12" s="166" customFormat="1" ht="21.95" customHeight="1">
      <c r="A23" s="177" t="s">
        <v>459</v>
      </c>
      <c r="B23" s="167" t="s">
        <v>40</v>
      </c>
      <c r="C23" s="174">
        <f>VLOOKUP($B23,REPORTE_ENTIDAD!$A$151:$AF$182,6,FALSE)*1000000</f>
        <v>6832064088</v>
      </c>
      <c r="D23" s="174">
        <f>VLOOKUP($B23,REPORTE_ENTIDAD!$A$151:$AF$182,11,FALSE)*1000000</f>
        <v>1900000000</v>
      </c>
      <c r="E23" s="174">
        <f>VLOOKUP($B23,REPORTE_ENTIDAD!$A$151:$AF$182,17,FALSE)*1000000</f>
        <v>1900000000</v>
      </c>
      <c r="F23" s="173">
        <f t="shared" si="3"/>
        <v>0.27810043575809035</v>
      </c>
      <c r="G23" s="173">
        <f t="shared" si="0"/>
        <v>1</v>
      </c>
      <c r="H23" s="173">
        <f t="shared" si="2"/>
        <v>0.27810043575809035</v>
      </c>
      <c r="I23" s="173">
        <f t="shared" si="1"/>
        <v>1</v>
      </c>
      <c r="K23" s="173">
        <f>VLOOKUP("CARS",META!$A$3:$M$9,MONTH($H$3)+1,FALSE)</f>
        <v>7.3040820587530558E-2</v>
      </c>
      <c r="L23" s="173">
        <f>VLOOKUP("CARS",META!$A$12:$M$18,MONTH($H$3)+1,FALSE)</f>
        <v>4.2446008940387095E-2</v>
      </c>
    </row>
    <row r="24" spans="1:12" s="166" customFormat="1" ht="21.95" customHeight="1">
      <c r="A24" s="177" t="s">
        <v>460</v>
      </c>
      <c r="B24" s="167" t="s">
        <v>42</v>
      </c>
      <c r="C24" s="174">
        <f>VLOOKUP($B24,REPORTE_ENTIDAD!$A$151:$AF$182,6,FALSE)*1000000</f>
        <v>5911894103</v>
      </c>
      <c r="D24" s="174">
        <f>VLOOKUP($B24,REPORTE_ENTIDAD!$A$151:$AF$182,11,FALSE)*1000000</f>
        <v>0</v>
      </c>
      <c r="E24" s="174">
        <f>VLOOKUP($B24,REPORTE_ENTIDAD!$A$151:$AF$182,17,FALSE)*1000000</f>
        <v>0</v>
      </c>
      <c r="F24" s="173">
        <f t="shared" si="3"/>
        <v>0</v>
      </c>
      <c r="G24" s="173">
        <f t="shared" si="0"/>
        <v>3</v>
      </c>
      <c r="H24" s="173">
        <f t="shared" si="2"/>
        <v>0</v>
      </c>
      <c r="I24" s="173">
        <f t="shared" si="1"/>
        <v>3</v>
      </c>
      <c r="K24" s="173">
        <f>VLOOKUP("CARS",META!$A$3:$M$9,MONTH($H$3)+1,FALSE)</f>
        <v>7.3040820587530558E-2</v>
      </c>
      <c r="L24" s="173">
        <f>VLOOKUP("CARS",META!$A$12:$M$18,MONTH($H$3)+1,FALSE)</f>
        <v>4.2446008940387095E-2</v>
      </c>
    </row>
    <row r="25" spans="1:12" s="166" customFormat="1" ht="21.95" customHeight="1">
      <c r="A25" s="177" t="s">
        <v>461</v>
      </c>
      <c r="B25" s="167" t="s">
        <v>38</v>
      </c>
      <c r="C25" s="174">
        <f>VLOOKUP($B25,REPORTE_ENTIDAD!$A$151:$AF$182,6,FALSE)*1000000</f>
        <v>3691190110</v>
      </c>
      <c r="D25" s="174">
        <f>VLOOKUP($B25,REPORTE_ENTIDAD!$A$151:$AF$182,11,FALSE)*1000000</f>
        <v>763000000</v>
      </c>
      <c r="E25" s="174">
        <f>VLOOKUP($B25,REPORTE_ENTIDAD!$A$151:$AF$182,17,FALSE)*1000000</f>
        <v>763000000</v>
      </c>
      <c r="F25" s="173">
        <f t="shared" si="3"/>
        <v>0.20670839953025341</v>
      </c>
      <c r="G25" s="173">
        <f t="shared" si="0"/>
        <v>1</v>
      </c>
      <c r="H25" s="173">
        <f t="shared" si="2"/>
        <v>0.20670839953025341</v>
      </c>
      <c r="I25" s="173">
        <f t="shared" si="1"/>
        <v>1</v>
      </c>
      <c r="K25" s="173">
        <f>VLOOKUP("CARS",META!$A$3:$M$9,MONTH($H$3)+1,FALSE)</f>
        <v>7.3040820587530558E-2</v>
      </c>
      <c r="L25" s="173">
        <f>VLOOKUP("CARS",META!$A$12:$M$18,MONTH($H$3)+1,FALSE)</f>
        <v>4.2446008940387095E-2</v>
      </c>
    </row>
    <row r="26" spans="1:12" s="166" customFormat="1" ht="21.95" customHeight="1">
      <c r="A26" s="177" t="s">
        <v>462</v>
      </c>
      <c r="B26" s="167" t="s">
        <v>49</v>
      </c>
      <c r="C26" s="174">
        <f>VLOOKUP($B26,REPORTE_ENTIDAD!$A$151:$AF$182,6,FALSE)*1000000</f>
        <v>6619726656</v>
      </c>
      <c r="D26" s="174">
        <f>VLOOKUP($B26,REPORTE_ENTIDAD!$A$151:$AF$182,11,FALSE)*1000000</f>
        <v>1386037638</v>
      </c>
      <c r="E26" s="174">
        <f>VLOOKUP($B26,REPORTE_ENTIDAD!$A$151:$AF$182,17,FALSE)*1000000</f>
        <v>1373037638</v>
      </c>
      <c r="F26" s="173">
        <f t="shared" si="3"/>
        <v>0.20937988983936681</v>
      </c>
      <c r="G26" s="173">
        <f t="shared" si="0"/>
        <v>1</v>
      </c>
      <c r="H26" s="173">
        <f t="shared" si="2"/>
        <v>0.20741606252812625</v>
      </c>
      <c r="I26" s="173">
        <f t="shared" si="1"/>
        <v>1</v>
      </c>
      <c r="K26" s="173">
        <f>VLOOKUP("CARS",META!$A$3:$M$9,MONTH($H$3)+1,FALSE)</f>
        <v>7.3040820587530558E-2</v>
      </c>
      <c r="L26" s="173">
        <f>VLOOKUP("CARS",META!$A$12:$M$18,MONTH($H$3)+1,FALSE)</f>
        <v>4.2446008940387095E-2</v>
      </c>
    </row>
    <row r="27" spans="1:12" s="166" customFormat="1" ht="21.95" customHeight="1">
      <c r="A27" s="177" t="s">
        <v>463</v>
      </c>
      <c r="B27" s="167" t="s">
        <v>35</v>
      </c>
      <c r="C27" s="174">
        <f>VLOOKUP($B27,REPORTE_ENTIDAD!$A$151:$AF$182,6,FALSE)*1000000</f>
        <v>5344404273</v>
      </c>
      <c r="D27" s="174">
        <f>VLOOKUP($B27,REPORTE_ENTIDAD!$A$151:$AF$182,11,FALSE)*1000000</f>
        <v>1258464060</v>
      </c>
      <c r="E27" s="174">
        <f>VLOOKUP($B27,REPORTE_ENTIDAD!$A$151:$AF$182,17,FALSE)*1000000</f>
        <v>1258464060</v>
      </c>
      <c r="F27" s="173">
        <f t="shared" si="3"/>
        <v>0.23547321566928925</v>
      </c>
      <c r="G27" s="173">
        <f t="shared" si="0"/>
        <v>1</v>
      </c>
      <c r="H27" s="173">
        <f t="shared" si="2"/>
        <v>0.23547321566928925</v>
      </c>
      <c r="I27" s="173">
        <f t="shared" si="1"/>
        <v>1</v>
      </c>
      <c r="K27" s="173">
        <f>VLOOKUP("CARS",META!$A$3:$M$9,MONTH($H$3)+1,FALSE)</f>
        <v>7.3040820587530558E-2</v>
      </c>
      <c r="L27" s="173">
        <f>VLOOKUP("CARS",META!$A$12:$M$18,MONTH($H$3)+1,FALSE)</f>
        <v>4.2446008940387095E-2</v>
      </c>
    </row>
    <row r="28" spans="1:12" s="166" customFormat="1" ht="21.95" customHeight="1">
      <c r="A28" s="177" t="s">
        <v>464</v>
      </c>
      <c r="B28" s="167" t="s">
        <v>36</v>
      </c>
      <c r="C28" s="174">
        <f>VLOOKUP($B28,REPORTE_ENTIDAD!$A$151:$AF$182,6,FALSE)*1000000</f>
        <v>2996582962</v>
      </c>
      <c r="D28" s="174">
        <f>VLOOKUP($B28,REPORTE_ENTIDAD!$A$151:$AF$182,11,FALSE)*1000000</f>
        <v>441645128</v>
      </c>
      <c r="E28" s="174">
        <f>VLOOKUP($B28,REPORTE_ENTIDAD!$A$151:$AF$182,17,FALSE)*1000000</f>
        <v>216760317</v>
      </c>
      <c r="F28" s="173">
        <f t="shared" si="3"/>
        <v>0.14738291367218953</v>
      </c>
      <c r="G28" s="173">
        <f t="shared" si="0"/>
        <v>1</v>
      </c>
      <c r="H28" s="173">
        <f t="shared" si="2"/>
        <v>7.2335830427110337E-2</v>
      </c>
      <c r="I28" s="173">
        <f t="shared" si="1"/>
        <v>1</v>
      </c>
      <c r="K28" s="173">
        <f>VLOOKUP("CARS",META!$A$3:$M$9,MONTH($H$3)+1,FALSE)</f>
        <v>7.3040820587530558E-2</v>
      </c>
      <c r="L28" s="173">
        <f>VLOOKUP("CARS",META!$A$12:$M$18,MONTH($H$3)+1,FALSE)</f>
        <v>4.2446008940387095E-2</v>
      </c>
    </row>
    <row r="29" spans="1:12" s="166" customFormat="1" ht="21.95" customHeight="1">
      <c r="A29" s="177" t="s">
        <v>465</v>
      </c>
      <c r="B29" s="167" t="s">
        <v>29</v>
      </c>
      <c r="C29" s="174">
        <f>VLOOKUP($B29,REPORTE_ENTIDAD!$A$151:$AF$182,6,FALSE)*1000000</f>
        <v>2755913662</v>
      </c>
      <c r="D29" s="174">
        <f>VLOOKUP($B29,REPORTE_ENTIDAD!$A$151:$AF$182,11,FALSE)*1000000</f>
        <v>683366772</v>
      </c>
      <c r="E29" s="174">
        <f>VLOOKUP($B29,REPORTE_ENTIDAD!$A$151:$AF$182,17,FALSE)*1000000</f>
        <v>668835700</v>
      </c>
      <c r="F29" s="173">
        <f t="shared" si="3"/>
        <v>0.24796378109467784</v>
      </c>
      <c r="G29" s="173">
        <f t="shared" si="0"/>
        <v>1</v>
      </c>
      <c r="H29" s="173">
        <f t="shared" si="2"/>
        <v>0.24269109341931192</v>
      </c>
      <c r="I29" s="173">
        <f t="shared" si="1"/>
        <v>1</v>
      </c>
      <c r="K29" s="173">
        <f>VLOOKUP("CARS",META!$A$3:$M$9,MONTH($H$3)+1,FALSE)</f>
        <v>7.3040820587530558E-2</v>
      </c>
      <c r="L29" s="173">
        <f>VLOOKUP("CARS",META!$A$12:$M$18,MONTH($H$3)+1,FALSE)</f>
        <v>4.2446008940387095E-2</v>
      </c>
    </row>
    <row r="30" spans="1:12" s="166" customFormat="1" ht="21.95" customHeight="1">
      <c r="A30" s="177" t="s">
        <v>466</v>
      </c>
      <c r="B30" s="167" t="s">
        <v>32</v>
      </c>
      <c r="C30" s="174">
        <f>VLOOKUP($B30,REPORTE_ENTIDAD!$A$151:$AF$182,6,FALSE)*1000000</f>
        <v>2515000000</v>
      </c>
      <c r="D30" s="174">
        <f>VLOOKUP($B30,REPORTE_ENTIDAD!$A$151:$AF$182,11,FALSE)*1000000</f>
        <v>764367429</v>
      </c>
      <c r="E30" s="174">
        <f>VLOOKUP($B30,REPORTE_ENTIDAD!$A$151:$AF$182,17,FALSE)*1000000</f>
        <v>764367429</v>
      </c>
      <c r="F30" s="173">
        <f t="shared" si="3"/>
        <v>0.3039234310139165</v>
      </c>
      <c r="G30" s="173">
        <f t="shared" si="0"/>
        <v>1</v>
      </c>
      <c r="H30" s="173">
        <f t="shared" si="2"/>
        <v>0.3039234310139165</v>
      </c>
      <c r="I30" s="173">
        <f t="shared" si="1"/>
        <v>1</v>
      </c>
      <c r="K30" s="173">
        <f>VLOOKUP("CARS",META!$A$3:$M$9,MONTH($H$3)+1,FALSE)</f>
        <v>7.3040820587530558E-2</v>
      </c>
      <c r="L30" s="173">
        <f>VLOOKUP("CARS",META!$A$12:$M$18,MONTH($H$3)+1,FALSE)</f>
        <v>4.2446008940387095E-2</v>
      </c>
    </row>
    <row r="31" spans="1:12" s="166" customFormat="1" ht="21.95" customHeight="1">
      <c r="A31" s="177" t="s">
        <v>467</v>
      </c>
      <c r="B31" s="167" t="s">
        <v>33</v>
      </c>
      <c r="C31" s="174">
        <f>VLOOKUP($B31,REPORTE_ENTIDAD!$A$151:$AF$182,6,FALSE)*1000000</f>
        <v>2729000000</v>
      </c>
      <c r="D31" s="174">
        <f>VLOOKUP($B31,REPORTE_ENTIDAD!$A$151:$AF$182,11,FALSE)*1000000</f>
        <v>1058986116.1999999</v>
      </c>
      <c r="E31" s="174">
        <f>VLOOKUP($B31,REPORTE_ENTIDAD!$A$151:$AF$182,17,FALSE)*1000000</f>
        <v>933422500</v>
      </c>
      <c r="F31" s="173">
        <f t="shared" si="3"/>
        <v>0.38804914481495051</v>
      </c>
      <c r="G31" s="173">
        <f t="shared" si="0"/>
        <v>1</v>
      </c>
      <c r="H31" s="173">
        <f t="shared" si="2"/>
        <v>0.34203829241480393</v>
      </c>
      <c r="I31" s="173">
        <f t="shared" si="1"/>
        <v>1</v>
      </c>
      <c r="K31" s="173">
        <f>VLOOKUP("CARS",META!$A$3:$M$9,MONTH($H$3)+1,FALSE)</f>
        <v>7.3040820587530558E-2</v>
      </c>
      <c r="L31" s="173">
        <f>VLOOKUP("CARS",META!$A$12:$M$18,MONTH($H$3)+1,FALSE)</f>
        <v>4.2446008940387095E-2</v>
      </c>
    </row>
    <row r="32" spans="1:12" s="166" customFormat="1" ht="21.95" customHeight="1">
      <c r="A32" s="177" t="s">
        <v>468</v>
      </c>
      <c r="B32" s="167" t="s">
        <v>44</v>
      </c>
      <c r="C32" s="174">
        <f>VLOOKUP($B32,REPORTE_ENTIDAD!$A$151:$AF$182,6,FALSE)*1000000</f>
        <v>2507575906</v>
      </c>
      <c r="D32" s="174">
        <f>VLOOKUP($B32,REPORTE_ENTIDAD!$A$151:$AF$182,11,FALSE)*1000000</f>
        <v>814706932</v>
      </c>
      <c r="E32" s="174">
        <f>VLOOKUP($B32,REPORTE_ENTIDAD!$A$151:$AF$182,17,FALSE)*1000000</f>
        <v>746449898</v>
      </c>
      <c r="F32" s="173">
        <f t="shared" si="3"/>
        <v>0.32489821347007314</v>
      </c>
      <c r="G32" s="173">
        <f t="shared" si="0"/>
        <v>1</v>
      </c>
      <c r="H32" s="173">
        <f t="shared" si="2"/>
        <v>0.29767788732294509</v>
      </c>
      <c r="I32" s="173">
        <f t="shared" si="1"/>
        <v>1</v>
      </c>
      <c r="K32" s="173">
        <f>VLOOKUP("CARS",META!$A$3:$M$9,MONTH($H$3)+1,FALSE)</f>
        <v>7.3040820587530558E-2</v>
      </c>
      <c r="L32" s="173">
        <f>VLOOKUP("CARS",META!$A$12:$M$18,MONTH($H$3)+1,FALSE)</f>
        <v>4.2446008940387095E-2</v>
      </c>
    </row>
    <row r="33" spans="1:12" s="166" customFormat="1" ht="21.95" customHeight="1">
      <c r="A33" s="177" t="s">
        <v>469</v>
      </c>
      <c r="B33" s="167" t="s">
        <v>45</v>
      </c>
      <c r="C33" s="174">
        <f>VLOOKUP($B33,REPORTE_ENTIDAD!$A$151:$AF$182,6,FALSE)*1000000</f>
        <v>2437621743</v>
      </c>
      <c r="D33" s="174">
        <f>VLOOKUP($B33,REPORTE_ENTIDAD!$A$151:$AF$182,11,FALSE)*1000000</f>
        <v>619015555</v>
      </c>
      <c r="E33" s="174">
        <f>VLOOKUP($B33,REPORTE_ENTIDAD!$A$151:$AF$182,17,FALSE)*1000000</f>
        <v>619015555</v>
      </c>
      <c r="F33" s="173">
        <f t="shared" si="3"/>
        <v>0.25394241611833213</v>
      </c>
      <c r="G33" s="173">
        <f t="shared" si="0"/>
        <v>1</v>
      </c>
      <c r="H33" s="173">
        <f t="shared" si="2"/>
        <v>0.25394241611833213</v>
      </c>
      <c r="I33" s="173">
        <f t="shared" si="1"/>
        <v>1</v>
      </c>
      <c r="K33" s="173">
        <f>VLOOKUP("CARS",META!$A$3:$M$9,MONTH($H$3)+1,FALSE)</f>
        <v>7.3040820587530558E-2</v>
      </c>
      <c r="L33" s="173">
        <f>VLOOKUP("CARS",META!$A$12:$M$18,MONTH($H$3)+1,FALSE)</f>
        <v>4.2446008940387095E-2</v>
      </c>
    </row>
    <row r="34" spans="1:12" s="166" customFormat="1" ht="21.95" customHeight="1">
      <c r="A34" s="177" t="s">
        <v>470</v>
      </c>
      <c r="B34" s="167" t="s">
        <v>28</v>
      </c>
      <c r="C34" s="174">
        <f>VLOOKUP($B34,REPORTE_ENTIDAD!$A$151:$AF$182,6,FALSE)*1000000</f>
        <v>14718095610</v>
      </c>
      <c r="D34" s="174">
        <f>VLOOKUP($B34,REPORTE_ENTIDAD!$A$151:$AF$182,11,FALSE)*1000000</f>
        <v>13201619942</v>
      </c>
      <c r="E34" s="174">
        <f>VLOOKUP($B34,REPORTE_ENTIDAD!$A$151:$AF$182,17,FALSE)*1000000</f>
        <v>1076797144</v>
      </c>
      <c r="F34" s="173">
        <f t="shared" si="3"/>
        <v>0.89696522510903842</v>
      </c>
      <c r="G34" s="173">
        <f t="shared" si="0"/>
        <v>1</v>
      </c>
      <c r="H34" s="173">
        <f t="shared" si="2"/>
        <v>7.3161445103562553E-2</v>
      </c>
      <c r="I34" s="173">
        <f t="shared" si="1"/>
        <v>1</v>
      </c>
      <c r="K34" s="173">
        <f>VLOOKUP("CARS",META!$A$3:$M$9,MONTH($H$3)+1,FALSE)</f>
        <v>7.3040820587530558E-2</v>
      </c>
      <c r="L34" s="173">
        <f>VLOOKUP("CARS",META!$A$12:$M$18,MONTH($H$3)+1,FALSE)</f>
        <v>4.2446008940387095E-2</v>
      </c>
    </row>
    <row r="35" spans="1:12" s="166" customFormat="1" ht="21.95" customHeight="1">
      <c r="A35" s="177" t="s">
        <v>471</v>
      </c>
      <c r="B35" s="167" t="s">
        <v>24</v>
      </c>
      <c r="C35" s="174">
        <f>VLOOKUP($B35,REPORTE_ENTIDAD!$A$151:$AF$182,6,FALSE)*1000000</f>
        <v>2845897071</v>
      </c>
      <c r="D35" s="174">
        <f>VLOOKUP($B35,REPORTE_ENTIDAD!$A$151:$AF$182,11,FALSE)*1000000</f>
        <v>798843640</v>
      </c>
      <c r="E35" s="174">
        <f>VLOOKUP($B35,REPORTE_ENTIDAD!$A$151:$AF$182,17,FALSE)*1000000</f>
        <v>798843640</v>
      </c>
      <c r="F35" s="173">
        <f t="shared" si="3"/>
        <v>0.28070011671901396</v>
      </c>
      <c r="G35" s="173">
        <f t="shared" si="0"/>
        <v>1</v>
      </c>
      <c r="H35" s="173">
        <f t="shared" si="2"/>
        <v>0.28070011671901396</v>
      </c>
      <c r="I35" s="173">
        <f t="shared" si="1"/>
        <v>1</v>
      </c>
      <c r="K35" s="173">
        <f>VLOOKUP("CARS",META!$A$3:$M$9,MONTH($H$3)+1,FALSE)</f>
        <v>7.3040820587530558E-2</v>
      </c>
      <c r="L35" s="173">
        <f>VLOOKUP("CARS",META!$A$12:$M$18,MONTH($H$3)+1,FALSE)</f>
        <v>4.2446008940387095E-2</v>
      </c>
    </row>
    <row r="36" spans="1:12" s="166" customFormat="1" ht="21.95" customHeight="1">
      <c r="A36" s="177" t="s">
        <v>472</v>
      </c>
      <c r="B36" s="167" t="s">
        <v>34</v>
      </c>
      <c r="C36" s="174">
        <f>VLOOKUP($B36,REPORTE_ENTIDAD!$A$151:$AF$182,6,FALSE)*1000000</f>
        <v>9364584567</v>
      </c>
      <c r="D36" s="174">
        <f>VLOOKUP($B36,REPORTE_ENTIDAD!$A$151:$AF$182,11,FALSE)*1000000</f>
        <v>659269151</v>
      </c>
      <c r="E36" s="174">
        <f>VLOOKUP($B36,REPORTE_ENTIDAD!$A$151:$AF$182,17,FALSE)*1000000</f>
        <v>439512791</v>
      </c>
      <c r="F36" s="173">
        <f t="shared" si="3"/>
        <v>7.0400256015969831E-2</v>
      </c>
      <c r="G36" s="173">
        <f t="shared" si="0"/>
        <v>2</v>
      </c>
      <c r="H36" s="173">
        <f t="shared" si="2"/>
        <v>4.6933506537898725E-2</v>
      </c>
      <c r="I36" s="173">
        <f t="shared" si="1"/>
        <v>1</v>
      </c>
      <c r="K36" s="173">
        <f>VLOOKUP("CARS",META!$A$3:$M$9,MONTH($H$3)+1,FALSE)</f>
        <v>7.3040820587530558E-2</v>
      </c>
      <c r="L36" s="173">
        <f>VLOOKUP("CARS",META!$A$12:$M$18,MONTH($H$3)+1,FALSE)</f>
        <v>4.2446008940387095E-2</v>
      </c>
    </row>
    <row r="37" spans="1:12" s="166" customFormat="1" ht="21.95" customHeight="1">
      <c r="A37" s="177" t="s">
        <v>473</v>
      </c>
      <c r="B37" s="167" t="s">
        <v>47</v>
      </c>
      <c r="C37" s="174">
        <f>VLOOKUP($B37,REPORTE_ENTIDAD!$A$151:$AF$182,6,FALSE)*1000000</f>
        <v>2210571200</v>
      </c>
      <c r="D37" s="174">
        <f>VLOOKUP($B37,REPORTE_ENTIDAD!$A$151:$AF$182,11,FALSE)*1000000</f>
        <v>750000000</v>
      </c>
      <c r="E37" s="174">
        <f>VLOOKUP($B37,REPORTE_ENTIDAD!$A$151:$AF$182,17,FALSE)*1000000</f>
        <v>750000000</v>
      </c>
      <c r="F37" s="173">
        <f t="shared" si="3"/>
        <v>0.33927882530994702</v>
      </c>
      <c r="G37" s="173">
        <f t="shared" si="0"/>
        <v>1</v>
      </c>
      <c r="H37" s="173">
        <f t="shared" si="2"/>
        <v>0.33927882530994702</v>
      </c>
      <c r="I37" s="173">
        <f t="shared" si="1"/>
        <v>1</v>
      </c>
      <c r="K37" s="173">
        <f>VLOOKUP("CARS",META!$A$3:$M$9,MONTH($H$3)+1,FALSE)</f>
        <v>7.3040820587530558E-2</v>
      </c>
      <c r="L37" s="173">
        <f>VLOOKUP("CARS",META!$A$12:$M$18,MONTH($H$3)+1,FALSE)</f>
        <v>4.2446008940387095E-2</v>
      </c>
    </row>
    <row r="38" spans="1:12" s="166" customFormat="1" ht="21.95" customHeight="1">
      <c r="A38" s="177" t="s">
        <v>474</v>
      </c>
      <c r="B38" s="167" t="s">
        <v>27</v>
      </c>
      <c r="C38" s="174">
        <f>VLOOKUP($B38,REPORTE_ENTIDAD!$A$151:$AF$182,6,FALSE)*1000000</f>
        <v>3838566786</v>
      </c>
      <c r="D38" s="174">
        <f>VLOOKUP($B38,REPORTE_ENTIDAD!$A$151:$AF$182,11,FALSE)*1000000</f>
        <v>528200000.00000006</v>
      </c>
      <c r="E38" s="174">
        <f>VLOOKUP($B38,REPORTE_ENTIDAD!$A$151:$AF$182,17,FALSE)*1000000</f>
        <v>521200000.00000006</v>
      </c>
      <c r="F38" s="173">
        <f t="shared" si="3"/>
        <v>0.13760344145279646</v>
      </c>
      <c r="G38" s="173">
        <f t="shared" si="0"/>
        <v>1</v>
      </c>
      <c r="H38" s="173">
        <f t="shared" si="2"/>
        <v>0.13577984415978325</v>
      </c>
      <c r="I38" s="173">
        <f t="shared" si="1"/>
        <v>1</v>
      </c>
      <c r="K38" s="173">
        <f>VLOOKUP("CARS",META!$A$3:$M$9,MONTH($H$3)+1,FALSE)</f>
        <v>7.3040820587530558E-2</v>
      </c>
      <c r="L38" s="173">
        <f>VLOOKUP("CARS",META!$A$12:$M$18,MONTH($H$3)+1,FALSE)</f>
        <v>4.2446008940387095E-2</v>
      </c>
    </row>
    <row r="39" spans="1:12" s="166" customFormat="1" ht="21.95" customHeight="1">
      <c r="A39" s="177" t="s">
        <v>475</v>
      </c>
      <c r="B39" s="167" t="s">
        <v>37</v>
      </c>
      <c r="C39" s="174">
        <f>VLOOKUP($B39,REPORTE_ENTIDAD!$A$151:$AF$182,6,FALSE)*1000000</f>
        <v>3211565586</v>
      </c>
      <c r="D39" s="174">
        <f>VLOOKUP($B39,REPORTE_ENTIDAD!$A$151:$AF$182,11,FALSE)*1000000</f>
        <v>824759460.03999996</v>
      </c>
      <c r="E39" s="174">
        <f>VLOOKUP($B39,REPORTE_ENTIDAD!$A$151:$AF$182,17,FALSE)*1000000</f>
        <v>821190170.03999996</v>
      </c>
      <c r="F39" s="173">
        <f t="shared" si="3"/>
        <v>0.25680915987994396</v>
      </c>
      <c r="G39" s="173">
        <f t="shared" si="0"/>
        <v>1</v>
      </c>
      <c r="H39" s="173">
        <f t="shared" si="2"/>
        <v>0.25569777357802337</v>
      </c>
      <c r="I39" s="173">
        <f t="shared" si="1"/>
        <v>1</v>
      </c>
      <c r="K39" s="173">
        <f>VLOOKUP("CARS",META!$A$3:$M$9,MONTH($H$3)+1,FALSE)</f>
        <v>7.3040820587530558E-2</v>
      </c>
      <c r="L39" s="173">
        <f>VLOOKUP("CARS",META!$A$12:$M$18,MONTH($H$3)+1,FALSE)</f>
        <v>4.2446008940387095E-2</v>
      </c>
    </row>
    <row r="40" spans="1:12" s="166" customFormat="1" ht="21.95" customHeight="1">
      <c r="A40" s="177" t="s">
        <v>476</v>
      </c>
      <c r="B40" s="167" t="s">
        <v>41</v>
      </c>
      <c r="C40" s="174">
        <f>VLOOKUP($B40,REPORTE_ENTIDAD!$A$151:$AF$182,6,FALSE)*1000000</f>
        <v>2417000000</v>
      </c>
      <c r="D40" s="174">
        <f>VLOOKUP($B40,REPORTE_ENTIDAD!$A$151:$AF$182,11,FALSE)*1000000</f>
        <v>547475203</v>
      </c>
      <c r="E40" s="174">
        <f>VLOOKUP($B40,REPORTE_ENTIDAD!$A$151:$AF$182,17,FALSE)*1000000</f>
        <v>547475203</v>
      </c>
      <c r="F40" s="173">
        <f t="shared" si="3"/>
        <v>0.2265102205213074</v>
      </c>
      <c r="G40" s="173">
        <f t="shared" si="0"/>
        <v>1</v>
      </c>
      <c r="H40" s="173">
        <f t="shared" si="2"/>
        <v>0.2265102205213074</v>
      </c>
      <c r="I40" s="173">
        <f t="shared" si="1"/>
        <v>1</v>
      </c>
      <c r="K40" s="173">
        <f>VLOOKUP("CARS",META!$A$3:$M$9,MONTH($H$3)+1,FALSE)</f>
        <v>7.3040820587530558E-2</v>
      </c>
      <c r="L40" s="173">
        <f>VLOOKUP("CARS",META!$A$12:$M$18,MONTH($H$3)+1,FALSE)</f>
        <v>4.2446008940387095E-2</v>
      </c>
    </row>
    <row r="41" spans="1:12" s="166" customFormat="1" ht="21.95" customHeight="1">
      <c r="A41" s="177" t="s">
        <v>477</v>
      </c>
      <c r="B41" s="167" t="s">
        <v>43</v>
      </c>
      <c r="C41" s="174">
        <f>VLOOKUP($B41,REPORTE_ENTIDAD!$A$151:$AF$182,6,FALSE)*1000000</f>
        <v>840575000</v>
      </c>
      <c r="D41" s="174">
        <f>VLOOKUP($B41,REPORTE_ENTIDAD!$A$151:$AF$182,11,FALSE)*1000000</f>
        <v>103942155</v>
      </c>
      <c r="E41" s="174">
        <f>VLOOKUP($B41,REPORTE_ENTIDAD!$A$151:$AF$182,17,FALSE)*1000000</f>
        <v>100000000</v>
      </c>
      <c r="F41" s="173">
        <f t="shared" si="3"/>
        <v>0.12365601522767153</v>
      </c>
      <c r="G41" s="173">
        <f t="shared" si="0"/>
        <v>1</v>
      </c>
      <c r="H41" s="173">
        <f t="shared" si="2"/>
        <v>0.11896618386223716</v>
      </c>
      <c r="I41" s="173">
        <f t="shared" si="1"/>
        <v>1</v>
      </c>
      <c r="K41" s="173">
        <f>VLOOKUP("CARS",META!$A$3:$M$9,MONTH($H$3)+1,FALSE)</f>
        <v>7.3040820587530558E-2</v>
      </c>
      <c r="L41" s="173">
        <f>VLOOKUP("CARS",META!$A$12:$M$18,MONTH($H$3)+1,FALSE)</f>
        <v>4.2446008940387095E-2</v>
      </c>
    </row>
    <row r="42" spans="1:12" s="166" customFormat="1" ht="21.95" customHeight="1">
      <c r="A42" s="177" t="s">
        <v>478</v>
      </c>
      <c r="B42" s="167" t="s">
        <v>26</v>
      </c>
      <c r="C42" s="174">
        <f>VLOOKUP($B42,REPORTE_ENTIDAD!$A$151:$AF$182,6,FALSE)*1000000</f>
        <v>3190517789</v>
      </c>
      <c r="D42" s="174">
        <f>VLOOKUP($B42,REPORTE_ENTIDAD!$A$151:$AF$182,11,FALSE)*1000000</f>
        <v>53539200</v>
      </c>
      <c r="E42" s="174">
        <f>VLOOKUP($B42,REPORTE_ENTIDAD!$A$151:$AF$182,17,FALSE)*1000000</f>
        <v>1689000</v>
      </c>
      <c r="F42" s="173">
        <f t="shared" si="3"/>
        <v>1.6780724490735633E-2</v>
      </c>
      <c r="G42" s="173">
        <f t="shared" si="0"/>
        <v>3</v>
      </c>
      <c r="H42" s="173">
        <f t="shared" si="2"/>
        <v>5.2938115744823391E-4</v>
      </c>
      <c r="I42" s="173">
        <f t="shared" si="1"/>
        <v>3</v>
      </c>
      <c r="K42" s="173">
        <f>VLOOKUP("CARS",META!$A$3:$M$9,MONTH($H$3)+1,FALSE)</f>
        <v>7.3040820587530558E-2</v>
      </c>
      <c r="L42" s="173">
        <f>VLOOKUP("CARS",META!$A$12:$M$18,MONTH($H$3)+1,FALSE)</f>
        <v>4.2446008940387095E-2</v>
      </c>
    </row>
    <row r="43" spans="1:12" s="166" customFormat="1" ht="21.95" customHeight="1">
      <c r="A43" s="177" t="s">
        <v>479</v>
      </c>
      <c r="B43" s="167" t="s">
        <v>51</v>
      </c>
      <c r="C43" s="174">
        <f>VLOOKUP($B43,REPORTE_ENTIDAD!$A$151:$AF$182,6,FALSE)*1000000</f>
        <v>2921000000</v>
      </c>
      <c r="D43" s="174">
        <f>VLOOKUP($B43,REPORTE_ENTIDAD!$A$151:$AF$182,11,FALSE)*1000000</f>
        <v>615514771</v>
      </c>
      <c r="E43" s="174">
        <f>VLOOKUP($B43,REPORTE_ENTIDAD!$A$151:$AF$182,17,FALSE)*1000000</f>
        <v>595512639</v>
      </c>
      <c r="F43" s="173">
        <f t="shared" si="3"/>
        <v>0.2107205652173913</v>
      </c>
      <c r="G43" s="173">
        <f t="shared" si="0"/>
        <v>1</v>
      </c>
      <c r="H43" s="173">
        <f t="shared" si="2"/>
        <v>0.20387286511468675</v>
      </c>
      <c r="I43" s="173">
        <f t="shared" si="1"/>
        <v>1</v>
      </c>
      <c r="K43" s="173">
        <f>VLOOKUP("CARS",META!$A$3:$M$9,MONTH($H$3)+1,FALSE)</f>
        <v>7.3040820587530558E-2</v>
      </c>
      <c r="L43" s="173">
        <f>VLOOKUP("CARS",META!$A$12:$M$18,MONTH($H$3)+1,FALSE)</f>
        <v>4.2446008940387095E-2</v>
      </c>
    </row>
  </sheetData>
  <mergeCells count="5">
    <mergeCell ref="A1:D3"/>
    <mergeCell ref="E1:H1"/>
    <mergeCell ref="K5:L5"/>
    <mergeCell ref="F2:G2"/>
    <mergeCell ref="F3:G3"/>
  </mergeCells>
  <conditionalFormatting sqref="G6 G8:G43">
    <cfRule type="cellIs" dxfId="8" priority="528" operator="equal">
      <formula>3</formula>
    </cfRule>
    <cfRule type="cellIs" dxfId="7" priority="529" operator="equal">
      <formula>2</formula>
    </cfRule>
    <cfRule type="cellIs" dxfId="6" priority="530" operator="equal">
      <formula>1</formula>
    </cfRule>
  </conditionalFormatting>
  <conditionalFormatting sqref="I6">
    <cfRule type="cellIs" dxfId="5" priority="7" operator="equal">
      <formula>3</formula>
    </cfRule>
    <cfRule type="cellIs" dxfId="4" priority="8" operator="equal">
      <formula>2</formula>
    </cfRule>
    <cfRule type="cellIs" dxfId="3" priority="9" operator="equal">
      <formula>1</formula>
    </cfRule>
  </conditionalFormatting>
  <conditionalFormatting sqref="I8:I43">
    <cfRule type="cellIs" dxfId="2" priority="1" operator="equal">
      <formula>3</formula>
    </cfRule>
    <cfRule type="cellIs" dxfId="1" priority="2" operator="equal">
      <formula>2</formula>
    </cfRule>
    <cfRule type="cellIs" dxfId="0" priority="3" operator="equal">
      <formula>1</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Z39"/>
  <sheetViews>
    <sheetView showGridLines="0" topLeftCell="K6" workbookViewId="0">
      <selection activeCell="U2" sqref="U2:W25"/>
    </sheetView>
  </sheetViews>
  <sheetFormatPr baseColWidth="10" defaultRowHeight="15"/>
  <cols>
    <col min="3" max="3" width="13.140625" bestFit="1" customWidth="1"/>
    <col min="4" max="4" width="16.42578125" bestFit="1" customWidth="1"/>
    <col min="5" max="5" width="15.7109375" bestFit="1" customWidth="1"/>
    <col min="6" max="6" width="17.28515625" bestFit="1" customWidth="1"/>
    <col min="7" max="7" width="19.140625" bestFit="1" customWidth="1"/>
    <col min="8" max="8" width="14.85546875" bestFit="1" customWidth="1"/>
    <col min="9" max="9" width="15" bestFit="1" customWidth="1"/>
    <col min="10" max="10" width="16.5703125" bestFit="1" customWidth="1"/>
    <col min="11" max="11" width="18.42578125" bestFit="1" customWidth="1"/>
    <col min="12" max="12" width="12.42578125" customWidth="1"/>
    <col min="13" max="13" width="11.140625" bestFit="1" customWidth="1"/>
    <col min="15" max="15" width="12.140625" style="226" hidden="1" customWidth="1"/>
    <col min="16" max="17" width="10.85546875"/>
    <col min="18" max="18" width="14.42578125" style="44" customWidth="1"/>
    <col min="19" max="19" width="13.42578125" bestFit="1" customWidth="1"/>
    <col min="20" max="20" width="10.85546875"/>
    <col min="21" max="21" width="11.5703125" bestFit="1" customWidth="1"/>
    <col min="22" max="22" width="12.85546875" bestFit="1" customWidth="1"/>
    <col min="23" max="23" width="17" bestFit="1" customWidth="1"/>
    <col min="24" max="24" width="11.5703125" customWidth="1"/>
    <col min="25" max="25" width="19.28515625" bestFit="1" customWidth="1"/>
    <col min="26" max="26" width="10.85546875"/>
  </cols>
  <sheetData>
    <row r="1" spans="1:26" s="203" customFormat="1" ht="25.5">
      <c r="A1" s="202" t="s">
        <v>496</v>
      </c>
      <c r="B1" s="202" t="s">
        <v>0</v>
      </c>
      <c r="C1" s="202" t="s">
        <v>497</v>
      </c>
      <c r="D1" s="202" t="s">
        <v>1</v>
      </c>
      <c r="E1" s="202" t="s">
        <v>498</v>
      </c>
      <c r="F1" s="202" t="s">
        <v>499</v>
      </c>
      <c r="G1" s="202" t="s">
        <v>500</v>
      </c>
      <c r="H1" s="202" t="s">
        <v>367</v>
      </c>
      <c r="I1" s="202" t="s">
        <v>501</v>
      </c>
      <c r="J1" s="202" t="s">
        <v>502</v>
      </c>
      <c r="K1" s="202" t="s">
        <v>503</v>
      </c>
      <c r="L1" s="202" t="s">
        <v>504</v>
      </c>
      <c r="M1" s="202" t="s">
        <v>505</v>
      </c>
      <c r="O1" s="209" t="s">
        <v>520</v>
      </c>
      <c r="P1" s="209" t="s">
        <v>509</v>
      </c>
      <c r="Q1" s="209" t="s">
        <v>99</v>
      </c>
      <c r="R1" s="219" t="s">
        <v>510</v>
      </c>
      <c r="S1" s="211" t="s">
        <v>91</v>
      </c>
      <c r="T1" s="209" t="s">
        <v>511</v>
      </c>
      <c r="U1" s="210" t="s">
        <v>512</v>
      </c>
      <c r="V1" s="209" t="s">
        <v>2</v>
      </c>
      <c r="W1" s="209" t="s">
        <v>513</v>
      </c>
      <c r="X1" s="223"/>
      <c r="Y1" s="212"/>
      <c r="Z1"/>
    </row>
    <row r="2" spans="1:26">
      <c r="A2" s="182">
        <v>1</v>
      </c>
      <c r="B2" s="183" t="s">
        <v>6</v>
      </c>
      <c r="C2" s="184" t="s">
        <v>506</v>
      </c>
      <c r="D2" s="186">
        <f>VLOOKUP($B2,REPORTE_ENTIDAD!$A$49:$AJ$58,6,FALSE)</f>
        <v>208371.43344300002</v>
      </c>
      <c r="E2" s="186">
        <f>VLOOKUP($B2,REPORTE_ENTIDAD!$A$49:$AJ$58,34,FALSE)</f>
        <v>72937.369503181995</v>
      </c>
      <c r="F2" s="186">
        <f>VLOOKUP($B2,REPORTE_ENTIDAD!$A$49:$AJ$58,11,FALSE)</f>
        <v>62272.063168929999</v>
      </c>
      <c r="G2" s="187">
        <f>IF(D2=0,0,F2/D2)</f>
        <v>0.29885124913710648</v>
      </c>
      <c r="H2" s="186">
        <f>VLOOKUP($B2,REPORTE_ENTIDAD!$A$49:$AJ$58,29,FALSE)</f>
        <v>146099.37027407001</v>
      </c>
      <c r="I2" s="186">
        <f>VLOOKUP($B2,REPORTE_ENTIDAD!$A$49:$AJ$58,35,FALSE)</f>
        <v>33759.303369327572</v>
      </c>
      <c r="J2" s="186">
        <f>VLOOKUP($B2,REPORTE_ENTIDAD!$A$49:$AJ$58,17,FALSE)</f>
        <v>14943.288900299998</v>
      </c>
      <c r="K2" s="187">
        <f>IF(D2=0,0,J2/D2)</f>
        <v>7.1714671504564634E-2</v>
      </c>
      <c r="L2" s="186">
        <f>VLOOKUP($B2,REPORTE_ENTIDAD!$A$49:$AJ$58,36,FALSE)</f>
        <v>32297.572183665001</v>
      </c>
      <c r="M2" s="186">
        <f>M12+M22+M33</f>
        <v>14548.546094049998</v>
      </c>
      <c r="O2" s="224" t="s">
        <v>17</v>
      </c>
      <c r="P2" s="208" t="s">
        <v>116</v>
      </c>
      <c r="Q2" s="208" t="s">
        <v>17</v>
      </c>
      <c r="R2" s="220" t="s">
        <v>514</v>
      </c>
      <c r="S2" s="207" t="s">
        <v>225</v>
      </c>
      <c r="T2" s="208" t="s">
        <v>515</v>
      </c>
      <c r="U2" s="213">
        <f>VLOOKUP($O2,REPORTE_ENTIDAD!$A$61:$AJ$72,6,FALSE)</f>
        <v>11064.778861000001</v>
      </c>
      <c r="V2" s="213">
        <f>VLOOKUP($O2,REPORTE_ENTIDAD!$A$61:$AJ$72,11,FALSE)</f>
        <v>0</v>
      </c>
      <c r="W2" s="213">
        <f>VLOOKUP($O2,REPORTE_ENTIDAD!$A$61:$AJ$72,29,FALSE)</f>
        <v>11064.778861000001</v>
      </c>
      <c r="X2" s="234">
        <f>U2-V2-W2</f>
        <v>0</v>
      </c>
      <c r="Y2" s="214" t="s">
        <v>516</v>
      </c>
    </row>
    <row r="3" spans="1:26">
      <c r="A3" s="182">
        <v>2</v>
      </c>
      <c r="B3" s="183" t="s">
        <v>17</v>
      </c>
      <c r="C3" s="184" t="s">
        <v>506</v>
      </c>
      <c r="D3" s="186">
        <f>VLOOKUP($B3,REPORTE_ENTIDAD!$A$49:$AJ$58,6,FALSE)</f>
        <v>54658.184757999996</v>
      </c>
      <c r="E3" s="186">
        <f>VLOOKUP($B3,REPORTE_ENTIDAD!$A$49:$AJ$58,34,FALSE)</f>
        <v>19132.297322118182</v>
      </c>
      <c r="F3" s="186">
        <f>VLOOKUP($B3,REPORTE_ENTIDAD!$A$49:$AJ$58,11,FALSE)</f>
        <v>0</v>
      </c>
      <c r="G3" s="187">
        <f t="shared" ref="G3:G11" si="0">IF(D3=0,0,F3/D3)</f>
        <v>0</v>
      </c>
      <c r="H3" s="186">
        <f>VLOOKUP($B3,REPORTE_ENTIDAD!$A$49:$AJ$58,29,FALSE)</f>
        <v>54658.184757999996</v>
      </c>
      <c r="I3" s="186">
        <f>VLOOKUP($B3,REPORTE_ENTIDAD!$A$49:$AJ$58,35,FALSE)</f>
        <v>8855.4472672802258</v>
      </c>
      <c r="J3" s="186">
        <f>VLOOKUP($B3,REPORTE_ENTIDAD!$A$49:$AJ$58,17,FALSE)</f>
        <v>0</v>
      </c>
      <c r="K3" s="187">
        <f t="shared" ref="K3:K11" si="1">IF(D3=0,0,J3/D3)</f>
        <v>0</v>
      </c>
      <c r="L3" s="186">
        <f>VLOOKUP($B3,REPORTE_ENTIDAD!$A$49:$AJ$58,36,FALSE)</f>
        <v>8472.0186374899986</v>
      </c>
      <c r="M3" s="186">
        <f>M13+M23</f>
        <v>0</v>
      </c>
      <c r="O3" s="224" t="s">
        <v>17</v>
      </c>
      <c r="P3" s="208" t="s">
        <v>116</v>
      </c>
      <c r="Q3" s="208" t="s">
        <v>17</v>
      </c>
      <c r="R3" s="221" t="s">
        <v>514</v>
      </c>
      <c r="S3" s="207" t="s">
        <v>226</v>
      </c>
      <c r="T3" s="208" t="s">
        <v>515</v>
      </c>
      <c r="U3" s="213">
        <f>VLOOKUP($O3,REPORTE_ENTIDAD!$A$75:$AJ$86,6,FALSE)</f>
        <v>43593.405896999997</v>
      </c>
      <c r="V3" s="213">
        <f>VLOOKUP($O3,REPORTE_ENTIDAD!$A$75:$AJ$86,11,FALSE)</f>
        <v>0</v>
      </c>
      <c r="W3" s="213">
        <f>VLOOKUP($O3,REPORTE_ENTIDAD!$A$75:$AJ$86,29,FALSE)</f>
        <v>43593.405896999997</v>
      </c>
      <c r="X3" s="234">
        <f t="shared" ref="X3:X25" si="2">U3-V3-W3</f>
        <v>0</v>
      </c>
      <c r="Y3" s="214" t="s">
        <v>516</v>
      </c>
    </row>
    <row r="4" spans="1:26">
      <c r="A4" s="182">
        <v>3</v>
      </c>
      <c r="B4" s="183" t="s">
        <v>260</v>
      </c>
      <c r="C4" s="184" t="s">
        <v>506</v>
      </c>
      <c r="D4" s="186">
        <f>VLOOKUP($B4,REPORTE_ENTIDAD!$A$49:$AJ$58,6,FALSE)</f>
        <v>76287.817921000009</v>
      </c>
      <c r="E4" s="186">
        <f>VLOOKUP($B4,REPORTE_ENTIDAD!$A$49:$AJ$58,34,FALSE)</f>
        <v>26703.433730600802</v>
      </c>
      <c r="F4" s="186">
        <f>VLOOKUP($B4,REPORTE_ENTIDAD!$A$49:$AJ$58,11,FALSE)</f>
        <v>76287.817921000009</v>
      </c>
      <c r="G4" s="187">
        <f t="shared" si="0"/>
        <v>1</v>
      </c>
      <c r="H4" s="186">
        <f>VLOOKUP($B4,REPORTE_ENTIDAD!$A$49:$AJ$58,29,FALSE)</f>
        <v>0</v>
      </c>
      <c r="I4" s="186">
        <f>VLOOKUP($B4,REPORTE_ENTIDAD!$A$49:$AJ$58,35,FALSE)</f>
        <v>12359.772863412059</v>
      </c>
      <c r="J4" s="186">
        <f>VLOOKUP($B4,REPORTE_ENTIDAD!$A$49:$AJ$58,17,FALSE)</f>
        <v>21154.091847670003</v>
      </c>
      <c r="K4" s="187">
        <f t="shared" si="1"/>
        <v>0.27729318289816812</v>
      </c>
      <c r="L4" s="186">
        <f>VLOOKUP($B4,REPORTE_ENTIDAD!$A$49:$AJ$58,36,FALSE)</f>
        <v>11824.611777755001</v>
      </c>
      <c r="M4" s="186">
        <f t="shared" ref="M4:M8" si="3">M14+M24</f>
        <v>20415.591847670003</v>
      </c>
      <c r="O4" s="224" t="s">
        <v>262</v>
      </c>
      <c r="P4" s="208" t="s">
        <v>116</v>
      </c>
      <c r="Q4" s="208" t="s">
        <v>17</v>
      </c>
      <c r="R4" s="221" t="s">
        <v>392</v>
      </c>
      <c r="S4" s="207" t="s">
        <v>225</v>
      </c>
      <c r="T4" s="208" t="s">
        <v>515</v>
      </c>
      <c r="U4" s="213">
        <f>VLOOKUP($O4,REPORTE_ENTIDAD!$A$61:$AJ$72,6,FALSE)</f>
        <v>0</v>
      </c>
      <c r="V4" s="213">
        <f>VLOOKUP($O4,REPORTE_ENTIDAD!$A$61:$AJ$72,11,FALSE)</f>
        <v>0</v>
      </c>
      <c r="W4" s="213">
        <f>VLOOKUP($O4,REPORTE_ENTIDAD!$A$61:$AJ$72,29,FALSE)</f>
        <v>0</v>
      </c>
      <c r="X4" s="234">
        <f t="shared" si="2"/>
        <v>0</v>
      </c>
      <c r="Y4" s="214" t="s">
        <v>516</v>
      </c>
    </row>
    <row r="5" spans="1:26">
      <c r="A5" s="182">
        <v>4</v>
      </c>
      <c r="B5" s="183" t="s">
        <v>237</v>
      </c>
      <c r="C5" s="184" t="s">
        <v>506</v>
      </c>
      <c r="D5" s="186">
        <f>VLOOKUP($B5,REPORTE_ENTIDAD!$A$49:$AJ$58,6,FALSE)</f>
        <v>147008.85856699999</v>
      </c>
      <c r="E5" s="186">
        <f>VLOOKUP($B5,REPORTE_ENTIDAD!$A$49:$AJ$58,34,FALSE)</f>
        <v>51458.298579471179</v>
      </c>
      <c r="F5" s="186">
        <f>VLOOKUP($B5,REPORTE_ENTIDAD!$A$49:$AJ$58,11,FALSE)</f>
        <v>53916.31235652</v>
      </c>
      <c r="G5" s="187">
        <f t="shared" si="0"/>
        <v>0.36675553352417456</v>
      </c>
      <c r="H5" s="186">
        <f>VLOOKUP($B5,REPORTE_ENTIDAD!$A$49:$AJ$58,29,FALSE)</f>
        <v>93092.546210479981</v>
      </c>
      <c r="I5" s="186">
        <f>VLOOKUP($B5,REPORTE_ENTIDAD!$A$49:$AJ$58,35,FALSE)</f>
        <v>23817.64415754009</v>
      </c>
      <c r="J5" s="186">
        <f>VLOOKUP($B5,REPORTE_ENTIDAD!$A$49:$AJ$58,17,FALSE)</f>
        <v>11143.622837340001</v>
      </c>
      <c r="K5" s="187">
        <f t="shared" si="1"/>
        <v>7.580239004618379E-2</v>
      </c>
      <c r="L5" s="186">
        <f>VLOOKUP($B5,REPORTE_ENTIDAD!$A$49:$AJ$58,36,FALSE)</f>
        <v>22786.373077884997</v>
      </c>
      <c r="M5" s="186">
        <f>M15+M25+M34</f>
        <v>11143.622837340001</v>
      </c>
      <c r="O5" s="224" t="s">
        <v>262</v>
      </c>
      <c r="P5" s="208" t="s">
        <v>116</v>
      </c>
      <c r="Q5" s="208" t="s">
        <v>17</v>
      </c>
      <c r="R5" s="221" t="s">
        <v>392</v>
      </c>
      <c r="S5" s="207" t="s">
        <v>226</v>
      </c>
      <c r="T5" s="208" t="s">
        <v>515</v>
      </c>
      <c r="U5" s="213">
        <f>VLOOKUP($O5,REPORTE_ENTIDAD!$A$75:$AJ$86,6,FALSE)</f>
        <v>1900.5941029999999</v>
      </c>
      <c r="V5" s="213">
        <f>VLOOKUP($O5,REPORTE_ENTIDAD!$A$75:$AJ$86,11,FALSE)</f>
        <v>0</v>
      </c>
      <c r="W5" s="213">
        <f>VLOOKUP($O5,REPORTE_ENTIDAD!$A$75:$AJ$86,29,FALSE)</f>
        <v>1900.5941029999999</v>
      </c>
      <c r="X5" s="234">
        <f t="shared" si="2"/>
        <v>0</v>
      </c>
      <c r="Y5" s="214" t="s">
        <v>516</v>
      </c>
    </row>
    <row r="6" spans="1:26">
      <c r="A6" s="182">
        <v>5</v>
      </c>
      <c r="B6" s="183" t="s">
        <v>7</v>
      </c>
      <c r="C6" s="184" t="s">
        <v>506</v>
      </c>
      <c r="D6" s="186">
        <f>VLOOKUP($B6,REPORTE_ENTIDAD!$A$49:$AJ$58,6,FALSE)</f>
        <v>85592.112940999999</v>
      </c>
      <c r="E6" s="186">
        <f>VLOOKUP($B6,REPORTE_ENTIDAD!$A$49:$AJ$58,34,FALSE)</f>
        <v>29960.265977838739</v>
      </c>
      <c r="F6" s="186">
        <f>VLOOKUP($B6,REPORTE_ENTIDAD!$A$49:$AJ$58,11,FALSE)</f>
        <v>27307.766154179997</v>
      </c>
      <c r="G6" s="187">
        <f t="shared" si="0"/>
        <v>0.31904535611831047</v>
      </c>
      <c r="H6" s="186">
        <f>VLOOKUP($B6,REPORTE_ENTIDAD!$A$49:$AJ$58,29,FALSE)</f>
        <v>58284.346786820002</v>
      </c>
      <c r="I6" s="186">
        <f>VLOOKUP($B6,REPORTE_ENTIDAD!$A$49:$AJ$58,35,FALSE)</f>
        <v>13867.208470240705</v>
      </c>
      <c r="J6" s="186">
        <f>VLOOKUP($B6,REPORTE_ENTIDAD!$A$49:$AJ$58,17,FALSE)</f>
        <v>14967.48001084</v>
      </c>
      <c r="K6" s="187">
        <f t="shared" si="1"/>
        <v>0.17486985069707672</v>
      </c>
      <c r="L6" s="186">
        <f>VLOOKUP($B6,REPORTE_ENTIDAD!$A$49:$AJ$58,36,FALSE)</f>
        <v>13266.777505855</v>
      </c>
      <c r="M6" s="186">
        <f t="shared" si="3"/>
        <v>14934.47116884</v>
      </c>
      <c r="O6" s="224" t="s">
        <v>9</v>
      </c>
      <c r="P6" s="208" t="s">
        <v>116</v>
      </c>
      <c r="Q6" s="208" t="s">
        <v>9</v>
      </c>
      <c r="R6" s="221" t="s">
        <v>9</v>
      </c>
      <c r="S6" s="207" t="s">
        <v>225</v>
      </c>
      <c r="T6" s="208" t="s">
        <v>515</v>
      </c>
      <c r="U6" s="213">
        <f>VLOOKUP($O6,REPORTE_ENTIDAD!$A$61:$AJ$72,6,FALSE)</f>
        <v>82511.565000000002</v>
      </c>
      <c r="V6" s="213">
        <f>VLOOKUP($O6,REPORTE_ENTIDAD!$A$61:$AJ$72,11,FALSE)</f>
        <v>81100.574084000007</v>
      </c>
      <c r="W6" s="213">
        <f>VLOOKUP($O6,REPORTE_ENTIDAD!$A$61:$AJ$72,29,FALSE)</f>
        <v>1410.9909159999952</v>
      </c>
      <c r="X6" s="234">
        <f t="shared" si="2"/>
        <v>0</v>
      </c>
      <c r="Y6" s="214" t="s">
        <v>516</v>
      </c>
    </row>
    <row r="7" spans="1:26">
      <c r="A7" s="182">
        <v>6</v>
      </c>
      <c r="B7" s="183" t="s">
        <v>8</v>
      </c>
      <c r="C7" s="184" t="s">
        <v>506</v>
      </c>
      <c r="D7" s="186">
        <f>VLOOKUP($B7,REPORTE_ENTIDAD!$A$49:$AJ$58,6,FALSE)</f>
        <v>90559.823413999999</v>
      </c>
      <c r="E7" s="186">
        <f>VLOOKUP($B7,REPORTE_ENTIDAD!$A$49:$AJ$58,34,FALSE)</f>
        <v>31699.140296487334</v>
      </c>
      <c r="F7" s="186">
        <f>VLOOKUP($B7,REPORTE_ENTIDAD!$A$49:$AJ$58,11,FALSE)</f>
        <v>21905.82739653</v>
      </c>
      <c r="G7" s="187">
        <f t="shared" si="0"/>
        <v>0.24189344204422877</v>
      </c>
      <c r="H7" s="186">
        <f>VLOOKUP($B7,REPORTE_ENTIDAD!$A$49:$AJ$58,29,FALSE)</f>
        <v>68653.996017469995</v>
      </c>
      <c r="I7" s="186">
        <f>VLOOKUP($B7,REPORTE_ENTIDAD!$A$49:$AJ$58,35,FALSE)</f>
        <v>14672.052215556057</v>
      </c>
      <c r="J7" s="186">
        <f>VLOOKUP($B7,REPORTE_ENTIDAD!$A$49:$AJ$58,17,FALSE)</f>
        <v>9128.9792938600003</v>
      </c>
      <c r="K7" s="187">
        <f t="shared" si="1"/>
        <v>0.1008060633259662</v>
      </c>
      <c r="L7" s="186">
        <f>VLOOKUP($B7,REPORTE_ENTIDAD!$A$49:$AJ$58,36,FALSE)</f>
        <v>14036.77262917</v>
      </c>
      <c r="M7" s="186">
        <f>M17+M27+M35</f>
        <v>9128.9792938600003</v>
      </c>
      <c r="O7" s="224" t="s">
        <v>245</v>
      </c>
      <c r="P7" s="208" t="s">
        <v>116</v>
      </c>
      <c r="Q7" s="208" t="s">
        <v>9</v>
      </c>
      <c r="R7" s="221" t="s">
        <v>514</v>
      </c>
      <c r="S7" s="207" t="s">
        <v>226</v>
      </c>
      <c r="T7" s="208" t="s">
        <v>515</v>
      </c>
      <c r="U7" s="213">
        <f>VLOOKUP($O7,REPORTE_ENTIDAD!$A$139:$AJ$144,6,FALSE)-U9</f>
        <v>162526.20151299995</v>
      </c>
      <c r="V7" s="213">
        <f>VLOOKUP($O7,REPORTE_ENTIDAD!$A$139:$AJ$144,11,FALSE)-V9</f>
        <v>79677.281640059999</v>
      </c>
      <c r="W7" s="213">
        <f>VLOOKUP($O7,REPORTE_ENTIDAD!$A$139:$AJ$144,29,FALSE)-W9</f>
        <v>82848.919872939994</v>
      </c>
      <c r="X7" s="234">
        <f t="shared" si="2"/>
        <v>0</v>
      </c>
      <c r="Y7" s="214" t="s">
        <v>516</v>
      </c>
    </row>
    <row r="8" spans="1:26">
      <c r="A8" s="182">
        <v>7</v>
      </c>
      <c r="B8" s="183" t="s">
        <v>9</v>
      </c>
      <c r="C8" s="184" t="s">
        <v>506</v>
      </c>
      <c r="D8" s="186">
        <f>VLOOKUP($B8,REPORTE_ENTIDAD!$A$49:$AJ$58,6,FALSE)</f>
        <v>614717.6294509999</v>
      </c>
      <c r="E8" s="186">
        <f>VLOOKUP($B8,REPORTE_ENTIDAD!$A$49:$AJ$58,34,FALSE)</f>
        <v>215172.90608672873</v>
      </c>
      <c r="F8" s="186">
        <f>VLOOKUP($B8,REPORTE_ENTIDAD!$A$49:$AJ$58,11,FALSE)</f>
        <v>160777.85572406001</v>
      </c>
      <c r="G8" s="187">
        <f t="shared" si="0"/>
        <v>0.26154749436363101</v>
      </c>
      <c r="H8" s="186">
        <f>VLOOKUP($B8,REPORTE_ENTIDAD!$A$49:$AJ$58,29,FALSE)</f>
        <v>453939.77372693992</v>
      </c>
      <c r="I8" s="186">
        <f>VLOOKUP($B8,REPORTE_ENTIDAD!$A$49:$AJ$58,35,FALSE)</f>
        <v>99593.493197267002</v>
      </c>
      <c r="J8" s="186">
        <f>VLOOKUP($B8,REPORTE_ENTIDAD!$A$49:$AJ$58,17,FALSE)</f>
        <v>91477.709349140001</v>
      </c>
      <c r="K8" s="187">
        <f t="shared" si="1"/>
        <v>0.14881256851351102</v>
      </c>
      <c r="L8" s="186">
        <f>VLOOKUP($B8,REPORTE_ENTIDAD!$A$49:$AJ$58,36,FALSE)</f>
        <v>95281.232564904989</v>
      </c>
      <c r="M8" s="186">
        <f t="shared" si="3"/>
        <v>91442.521817140005</v>
      </c>
      <c r="O8" s="224" t="s">
        <v>263</v>
      </c>
      <c r="P8" s="208" t="s">
        <v>116</v>
      </c>
      <c r="Q8" s="208" t="s">
        <v>9</v>
      </c>
      <c r="R8" s="221" t="s">
        <v>392</v>
      </c>
      <c r="S8" s="207" t="s">
        <v>226</v>
      </c>
      <c r="T8" s="208" t="s">
        <v>515</v>
      </c>
      <c r="U8" s="213">
        <f>VLOOKUP($O8,REPORTE_ENTIDAD!$A$75:$AJ$86,6,FALSE)</f>
        <v>0</v>
      </c>
      <c r="V8" s="213">
        <f>VLOOKUP($O8,REPORTE_ENTIDAD!$A$75:$AJ$86,11,FALSE)</f>
        <v>0</v>
      </c>
      <c r="W8" s="213">
        <f>VLOOKUP($O8,REPORTE_ENTIDAD!$A$75:$AJ$86,29,FALSE)</f>
        <v>0</v>
      </c>
      <c r="X8" s="234">
        <f t="shared" si="2"/>
        <v>0</v>
      </c>
      <c r="Y8" s="214" t="s">
        <v>516</v>
      </c>
    </row>
    <row r="9" spans="1:26">
      <c r="A9" s="182">
        <v>8</v>
      </c>
      <c r="B9" s="183" t="s">
        <v>261</v>
      </c>
      <c r="C9" s="184" t="s">
        <v>506</v>
      </c>
      <c r="D9" s="186">
        <f>VLOOKUP($B9,REPORTE_ENTIDAD!$A$49:$AJ$58,6,FALSE)</f>
        <v>128505.13242999998</v>
      </c>
      <c r="E9" s="186">
        <f>VLOOKUP($B9,REPORTE_ENTIDAD!$A$49:$AJ$58,34,FALSE)</f>
        <v>44981.340158924329</v>
      </c>
      <c r="F9" s="186">
        <f>VLOOKUP($B9,REPORTE_ENTIDAD!$A$49:$AJ$58,11,FALSE)</f>
        <v>40274.514360950001</v>
      </c>
      <c r="G9" s="187">
        <f t="shared" si="0"/>
        <v>0.31340782737131961</v>
      </c>
      <c r="H9" s="186">
        <f>VLOOKUP($B9,REPORTE_ENTIDAD!$A$49:$AJ$58,29,FALSE)</f>
        <v>88230.61806904999</v>
      </c>
      <c r="I9" s="186">
        <f>VLOOKUP($B9,REPORTE_ENTIDAD!$A$49:$AJ$58,35,FALSE)</f>
        <v>20819.76247193553</v>
      </c>
      <c r="J9" s="186">
        <f>VLOOKUP($B9,REPORTE_ENTIDAD!$A$49:$AJ$58,17,FALSE)</f>
        <v>22491.774653749999</v>
      </c>
      <c r="K9" s="187">
        <f t="shared" si="1"/>
        <v>0.17502627504782226</v>
      </c>
      <c r="L9" s="186">
        <f>VLOOKUP($B9,REPORTE_ENTIDAD!$A$49:$AJ$58,36,FALSE)</f>
        <v>19918.295526649996</v>
      </c>
      <c r="M9" s="186">
        <f>M19+M29+M36</f>
        <v>21599.480809749999</v>
      </c>
      <c r="O9" s="224" t="s">
        <v>521</v>
      </c>
      <c r="P9" s="208" t="s">
        <v>116</v>
      </c>
      <c r="Q9" s="208" t="s">
        <v>9</v>
      </c>
      <c r="R9" s="221" t="s">
        <v>517</v>
      </c>
      <c r="S9" s="207" t="s">
        <v>226</v>
      </c>
      <c r="T9" s="208" t="s">
        <v>515</v>
      </c>
      <c r="U9" s="213">
        <f>VLOOKUP($O9,REPORTE_ENTIDAD!$A$139:$AJ$144,6,FALSE)</f>
        <v>369679.86293800001</v>
      </c>
      <c r="V9" s="213">
        <f>VLOOKUP($O9,REPORTE_ENTIDAD!$A$139:$AJ$144,11,FALSE)</f>
        <v>0</v>
      </c>
      <c r="W9" s="213">
        <f>VLOOKUP($O9,REPORTE_ENTIDAD!$A$139:$AJ$144,29,FALSE)</f>
        <v>369679.86293800001</v>
      </c>
      <c r="X9" s="234">
        <f t="shared" si="2"/>
        <v>0</v>
      </c>
      <c r="Y9" s="214" t="s">
        <v>516</v>
      </c>
    </row>
    <row r="10" spans="1:26">
      <c r="A10" s="182">
        <v>9</v>
      </c>
      <c r="B10" s="183" t="s">
        <v>262</v>
      </c>
      <c r="C10" s="184" t="s">
        <v>506</v>
      </c>
      <c r="D10" s="186">
        <f>VLOOKUP($B10,REPORTE_ENTIDAD!$A$49:$AJ$58,6,FALSE)</f>
        <v>1900.5941029999999</v>
      </c>
      <c r="E10" s="186">
        <f>VLOOKUP($B10,REPORTE_ENTIDAD!$A$49:$AJ$58,34,FALSE)</f>
        <v>665.27513908954518</v>
      </c>
      <c r="F10" s="186">
        <f>VLOOKUP($B10,REPORTE_ENTIDAD!$A$49:$AJ$58,11,FALSE)</f>
        <v>0</v>
      </c>
      <c r="G10" s="187">
        <f t="shared" si="0"/>
        <v>0</v>
      </c>
      <c r="H10" s="186">
        <f>VLOOKUP($B10,REPORTE_ENTIDAD!$A$49:$AJ$58,29,FALSE)</f>
        <v>1900.5941029999999</v>
      </c>
      <c r="I10" s="186">
        <f>VLOOKUP($B10,REPORTE_ENTIDAD!$A$49:$AJ$58,35,FALSE)</f>
        <v>307.9248044942961</v>
      </c>
      <c r="J10" s="186">
        <f>VLOOKUP($B10,REPORTE_ENTIDAD!$A$49:$AJ$58,17,FALSE)</f>
        <v>0</v>
      </c>
      <c r="K10" s="187">
        <f t="shared" si="1"/>
        <v>0</v>
      </c>
      <c r="L10" s="186">
        <f>VLOOKUP($B10,REPORTE_ENTIDAD!$A$49:$AJ$58,36,FALSE)</f>
        <v>294.59208596499997</v>
      </c>
      <c r="M10" s="186">
        <f>M20+M30</f>
        <v>0</v>
      </c>
      <c r="O10" s="224" t="s">
        <v>6</v>
      </c>
      <c r="P10" s="208" t="s">
        <v>116</v>
      </c>
      <c r="Q10" s="208" t="s">
        <v>221</v>
      </c>
      <c r="R10" s="221" t="s">
        <v>518</v>
      </c>
      <c r="S10" s="207" t="s">
        <v>225</v>
      </c>
      <c r="T10" s="208" t="s">
        <v>515</v>
      </c>
      <c r="U10" s="213">
        <f>VLOOKUP($O10,REPORTE_ENTIDAD!$A$61:$AJ$72,6,FALSE)</f>
        <v>64613.082964000001</v>
      </c>
      <c r="V10" s="213">
        <f>VLOOKUP($O10,REPORTE_ENTIDAD!$A$61:$AJ$72,11,FALSE)</f>
        <v>13919.962773099998</v>
      </c>
      <c r="W10" s="213">
        <f>VLOOKUP($O10,REPORTE_ENTIDAD!$A$61:$AJ$72,29,FALSE)</f>
        <v>50693.120190900001</v>
      </c>
      <c r="X10" s="234">
        <f t="shared" si="2"/>
        <v>0</v>
      </c>
      <c r="Y10" s="214" t="s">
        <v>516</v>
      </c>
    </row>
    <row r="11" spans="1:26">
      <c r="A11" s="182">
        <v>9.1</v>
      </c>
      <c r="B11" s="183" t="s">
        <v>263</v>
      </c>
      <c r="C11" s="184" t="s">
        <v>506</v>
      </c>
      <c r="D11" s="186">
        <f>VLOOKUP($B11,REPORTE_ENTIDAD!$A$49:$AJ$58,6,FALSE)</f>
        <v>0</v>
      </c>
      <c r="E11" s="186">
        <f>VLOOKUP($B11,REPORTE_ENTIDAD!$A$49:$AJ$58,34,FALSE)</f>
        <v>0</v>
      </c>
      <c r="F11" s="186">
        <f>VLOOKUP($B11,REPORTE_ENTIDAD!$A$49:$AJ$58,11,FALSE)</f>
        <v>0</v>
      </c>
      <c r="G11" s="187">
        <f t="shared" si="0"/>
        <v>0</v>
      </c>
      <c r="H11" s="186">
        <f>VLOOKUP($B11,REPORTE_ENTIDAD!$A$49:$AJ$58,29,FALSE)</f>
        <v>0</v>
      </c>
      <c r="I11" s="186">
        <f>VLOOKUP($B11,REPORTE_ENTIDAD!$A$49:$AJ$58,35,FALSE)</f>
        <v>0</v>
      </c>
      <c r="J11" s="186">
        <f>VLOOKUP($B11,REPORTE_ENTIDAD!$A$49:$AJ$58,17,FALSE)</f>
        <v>0</v>
      </c>
      <c r="K11" s="187">
        <f t="shared" si="1"/>
        <v>0</v>
      </c>
      <c r="L11" s="186">
        <f>VLOOKUP($B11,REPORTE_ENTIDAD!$A$49:$AJ$58,36,FALSE)</f>
        <v>0</v>
      </c>
      <c r="M11" s="186">
        <f>M31</f>
        <v>0</v>
      </c>
      <c r="O11" s="224" t="s">
        <v>6</v>
      </c>
      <c r="P11" s="208" t="s">
        <v>116</v>
      </c>
      <c r="Q11" s="208" t="s">
        <v>221</v>
      </c>
      <c r="R11" s="221" t="s">
        <v>518</v>
      </c>
      <c r="S11" s="207" t="s">
        <v>443</v>
      </c>
      <c r="T11" s="208" t="s">
        <v>515</v>
      </c>
      <c r="U11" s="213">
        <f>VLOOKUP($O11,REPORTE_ENTIDAD!$A$34:$AJ$40,6,FALSE)</f>
        <v>4117.8464949999998</v>
      </c>
      <c r="V11" s="213">
        <f>VLOOKUP($O11,REPORTE_ENTIDAD!$A$34:$AJ$40,11,FALSE)</f>
        <v>0</v>
      </c>
      <c r="W11" s="213">
        <f>VLOOKUP($O11,REPORTE_ENTIDAD!$A$34:$AJ$40,29,FALSE)</f>
        <v>4117.8464949999998</v>
      </c>
      <c r="X11" s="234">
        <f t="shared" si="2"/>
        <v>0</v>
      </c>
      <c r="Y11" s="214" t="s">
        <v>516</v>
      </c>
    </row>
    <row r="12" spans="1:26">
      <c r="A12" s="182">
        <v>1</v>
      </c>
      <c r="B12" s="183" t="s">
        <v>6</v>
      </c>
      <c r="C12" s="184" t="s">
        <v>225</v>
      </c>
      <c r="D12" s="186">
        <f>VLOOKUP($B12,REPORTE_ENTIDAD!$A$61:$AJ$72,6,FALSE)</f>
        <v>64613.082964000001</v>
      </c>
      <c r="E12" s="186">
        <f>VLOOKUP($B12,REPORTE_ENTIDAD!$A$61:$AJ$72,34,FALSE)</f>
        <v>22616.86368911112</v>
      </c>
      <c r="F12" s="186">
        <f>VLOOKUP($B12,REPORTE_ENTIDAD!$A$61:$AJ$72,11,FALSE)</f>
        <v>13919.962773099998</v>
      </c>
      <c r="G12" s="187">
        <f t="shared" ref="G12:G36" si="4">IF(D12=0,0,F12/D12)</f>
        <v>0.21543566928783883</v>
      </c>
      <c r="H12" s="186">
        <f>VLOOKUP($B12,REPORTE_ENTIDAD!$A$61:$AJ$72,29,FALSE)</f>
        <v>50693.120190900001</v>
      </c>
      <c r="I12" s="186">
        <f>VLOOKUP($B12,REPORTE_ENTIDAD!$A$61:$AJ$72,35,FALSE)</f>
        <v>10468.290366711421</v>
      </c>
      <c r="J12" s="186">
        <f>VLOOKUP($B12,REPORTE_ENTIDAD!$A$61:$AJ$72,17,FALSE)</f>
        <v>11182.046675939999</v>
      </c>
      <c r="K12" s="187">
        <f t="shared" ref="K12:K36" si="5">IF(D12=0,0,J12/D12)</f>
        <v>0.17306164886405773</v>
      </c>
      <c r="L12" s="186">
        <f>VLOOKUP($B12,REPORTE_ENTIDAD!$A$61:$AJ$72,36,FALSE)</f>
        <v>10015.027859420001</v>
      </c>
      <c r="M12" s="186">
        <f>VLOOKUP($B12,REPORTE_ENTIDAD!$A$61:$AJ$72,22,FALSE)</f>
        <v>10787.303869689998</v>
      </c>
      <c r="O12" s="227" t="s">
        <v>508</v>
      </c>
      <c r="P12" s="208" t="s">
        <v>116</v>
      </c>
      <c r="Q12" s="208" t="s">
        <v>221</v>
      </c>
      <c r="R12" s="221" t="s">
        <v>519</v>
      </c>
      <c r="S12" s="207" t="s">
        <v>226</v>
      </c>
      <c r="T12" s="208" t="s">
        <v>515</v>
      </c>
      <c r="U12" s="213">
        <f>VLOOKUP($O12,REPORTE_ENTIDAD!$A$75:$AJ$86,6,FALSE)</f>
        <v>139640.50398400001</v>
      </c>
      <c r="V12" s="213">
        <f>VLOOKUP($O12,REPORTE_ENTIDAD!$A$75:$AJ$86,11,FALSE)</f>
        <v>48352.100395829999</v>
      </c>
      <c r="W12" s="213">
        <f>VLOOKUP($O12,REPORTE_ENTIDAD!$A$75:$AJ$86,29,FALSE)</f>
        <v>91288.403588170011</v>
      </c>
      <c r="X12" s="234">
        <f t="shared" si="2"/>
        <v>0</v>
      </c>
      <c r="Y12" s="214" t="s">
        <v>516</v>
      </c>
    </row>
    <row r="13" spans="1:26">
      <c r="A13" s="182">
        <v>2</v>
      </c>
      <c r="B13" s="183" t="s">
        <v>17</v>
      </c>
      <c r="C13" s="184" t="s">
        <v>225</v>
      </c>
      <c r="D13" s="186">
        <f>VLOOKUP($B13,REPORTE_ENTIDAD!$A$61:$AJ$72,6,FALSE)</f>
        <v>11064.778861000001</v>
      </c>
      <c r="E13" s="186">
        <f>VLOOKUP($B13,REPORTE_ENTIDAD!$A$61:$AJ$72,34,FALSE)</f>
        <v>3873.0638404736937</v>
      </c>
      <c r="F13" s="186">
        <f>VLOOKUP($B13,REPORTE_ENTIDAD!$A$61:$AJ$72,11,FALSE)</f>
        <v>0</v>
      </c>
      <c r="G13" s="187">
        <f t="shared" si="4"/>
        <v>0</v>
      </c>
      <c r="H13" s="186">
        <f>VLOOKUP($B13,REPORTE_ENTIDAD!$A$61:$AJ$72,29,FALSE)</f>
        <v>11064.778861000001</v>
      </c>
      <c r="I13" s="186">
        <f>VLOOKUP($B13,REPORTE_ENTIDAD!$A$61:$AJ$72,35,FALSE)</f>
        <v>1792.6604434729456</v>
      </c>
      <c r="J13" s="186">
        <f>VLOOKUP($B13,REPORTE_ENTIDAD!$A$61:$AJ$72,17,FALSE)</f>
        <v>0</v>
      </c>
      <c r="K13" s="187">
        <f t="shared" si="5"/>
        <v>0</v>
      </c>
      <c r="L13" s="186">
        <f>VLOOKUP($B13,REPORTE_ENTIDAD!$A$61:$AJ$72,36,FALSE)</f>
        <v>1715.040723455</v>
      </c>
      <c r="M13" s="186">
        <f>VLOOKUP($B13,REPORTE_ENTIDAD!$A$61:$AJ$72,22,FALSE)</f>
        <v>0</v>
      </c>
      <c r="O13" s="224" t="s">
        <v>7</v>
      </c>
      <c r="P13" s="208" t="s">
        <v>116</v>
      </c>
      <c r="Q13" s="208" t="s">
        <v>221</v>
      </c>
      <c r="R13" s="221" t="s">
        <v>7</v>
      </c>
      <c r="S13" s="207" t="s">
        <v>225</v>
      </c>
      <c r="T13" s="208" t="s">
        <v>515</v>
      </c>
      <c r="U13" s="213">
        <f>VLOOKUP($O13,REPORTE_ENTIDAD!$A$61:$AJ$72,6,FALSE)</f>
        <v>80619.565000000002</v>
      </c>
      <c r="V13" s="213">
        <f>VLOOKUP($O13,REPORTE_ENTIDAD!$A$61:$AJ$72,11,FALSE)</f>
        <v>24117.735328179999</v>
      </c>
      <c r="W13" s="213">
        <f>VLOOKUP($O13,REPORTE_ENTIDAD!$A$61:$AJ$72,29,FALSE)</f>
        <v>56501.82967182</v>
      </c>
      <c r="X13" s="234">
        <f t="shared" si="2"/>
        <v>0</v>
      </c>
      <c r="Y13" s="214" t="s">
        <v>516</v>
      </c>
    </row>
    <row r="14" spans="1:26">
      <c r="A14" s="182">
        <v>3</v>
      </c>
      <c r="B14" s="183" t="s">
        <v>260</v>
      </c>
      <c r="C14" s="184" t="s">
        <v>225</v>
      </c>
      <c r="D14" s="186">
        <f>VLOOKUP($B14,REPORTE_ENTIDAD!$A$61:$AJ$72,6,FALSE)</f>
        <v>36287.817921000002</v>
      </c>
      <c r="E14" s="186">
        <f>VLOOKUP($B14,REPORTE_ENTIDAD!$A$61:$AJ$72,34,FALSE)</f>
        <v>12702.019372018101</v>
      </c>
      <c r="F14" s="186">
        <f>VLOOKUP($B14,REPORTE_ENTIDAD!$A$61:$AJ$72,11,FALSE)</f>
        <v>36287.817921000002</v>
      </c>
      <c r="G14" s="187">
        <f t="shared" si="4"/>
        <v>1</v>
      </c>
      <c r="H14" s="186">
        <f>VLOOKUP($B14,REPORTE_ENTIDAD!$A$61:$AJ$72,29,FALSE)</f>
        <v>0</v>
      </c>
      <c r="I14" s="186">
        <f>VLOOKUP($B14,REPORTE_ENTIDAD!$A$61:$AJ$72,35,FALSE)</f>
        <v>5879.1717922364505</v>
      </c>
      <c r="J14" s="186">
        <f>VLOOKUP($B14,REPORTE_ENTIDAD!$A$61:$AJ$72,17,FALSE)</f>
        <v>10722.454481000001</v>
      </c>
      <c r="K14" s="187">
        <f t="shared" si="5"/>
        <v>0.29548358361870097</v>
      </c>
      <c r="L14" s="186">
        <f>VLOOKUP($B14,REPORTE_ENTIDAD!$A$61:$AJ$72,36,FALSE)</f>
        <v>5624.6117777549998</v>
      </c>
      <c r="M14" s="186">
        <f>VLOOKUP($B14,REPORTE_ENTIDAD!$A$61:$AJ$72,22,FALSE)</f>
        <v>9983.9544810000007</v>
      </c>
      <c r="O14" s="224" t="s">
        <v>7</v>
      </c>
      <c r="P14" s="208" t="s">
        <v>116</v>
      </c>
      <c r="Q14" s="208" t="s">
        <v>221</v>
      </c>
      <c r="R14" s="221" t="s">
        <v>7</v>
      </c>
      <c r="S14" s="207" t="s">
        <v>226</v>
      </c>
      <c r="T14" s="208" t="s">
        <v>515</v>
      </c>
      <c r="U14" s="213">
        <f>VLOOKUP($O14,REPORTE_ENTIDAD!$A$75:$AJ$86,6,FALSE)</f>
        <v>3653.134329</v>
      </c>
      <c r="V14" s="213">
        <f>VLOOKUP($O14,REPORTE_ENTIDAD!$A$75:$AJ$86,11,FALSE)</f>
        <v>3190.0308260000002</v>
      </c>
      <c r="W14" s="213">
        <f>VLOOKUP($O14,REPORTE_ENTIDAD!$A$75:$AJ$86,29,FALSE)</f>
        <v>463.10350299999982</v>
      </c>
      <c r="X14" s="234">
        <f t="shared" si="2"/>
        <v>0</v>
      </c>
      <c r="Y14" s="214" t="s">
        <v>516</v>
      </c>
    </row>
    <row r="15" spans="1:26">
      <c r="A15" s="182">
        <v>4</v>
      </c>
      <c r="B15" s="183" t="s">
        <v>237</v>
      </c>
      <c r="C15" s="184" t="s">
        <v>225</v>
      </c>
      <c r="D15" s="186">
        <f>VLOOKUP($B15,REPORTE_ENTIDAD!$A$61:$AJ$72,6,FALSE)</f>
        <v>56889</v>
      </c>
      <c r="E15" s="186">
        <f>VLOOKUP($B15,REPORTE_ENTIDAD!$A$61:$AJ$72,34,FALSE)</f>
        <v>19913.161536135281</v>
      </c>
      <c r="F15" s="186">
        <f>VLOOKUP($B15,REPORTE_ENTIDAD!$A$61:$AJ$72,11,FALSE)</f>
        <v>15317.42771057</v>
      </c>
      <c r="G15" s="187">
        <f t="shared" si="4"/>
        <v>0.26925113309374399</v>
      </c>
      <c r="H15" s="186">
        <f>VLOOKUP($B15,REPORTE_ENTIDAD!$A$61:$AJ$72,29,FALSE)</f>
        <v>41571.572289429998</v>
      </c>
      <c r="I15" s="186">
        <f>VLOOKUP($B15,REPORTE_ENTIDAD!$A$61:$AJ$72,35,FALSE)</f>
        <v>9216.8728584527289</v>
      </c>
      <c r="J15" s="186">
        <f>VLOOKUP($B15,REPORTE_ENTIDAD!$A$61:$AJ$72,17,FALSE)</f>
        <v>9489.3795193400001</v>
      </c>
      <c r="K15" s="187">
        <f t="shared" si="5"/>
        <v>0.1668051735720438</v>
      </c>
      <c r="L15" s="186">
        <f>VLOOKUP($B15,REPORTE_ENTIDAD!$A$61:$AJ$72,36,FALSE)</f>
        <v>8817.7950000000001</v>
      </c>
      <c r="M15" s="186">
        <f>VLOOKUP($B15,REPORTE_ENTIDAD!$A$61:$AJ$72,22,FALSE)</f>
        <v>9489.3795193400001</v>
      </c>
      <c r="O15" s="224" t="s">
        <v>261</v>
      </c>
      <c r="P15" s="208" t="s">
        <v>116</v>
      </c>
      <c r="Q15" s="208" t="s">
        <v>221</v>
      </c>
      <c r="R15" s="221" t="s">
        <v>392</v>
      </c>
      <c r="S15" s="207" t="s">
        <v>225</v>
      </c>
      <c r="T15" s="208" t="s">
        <v>515</v>
      </c>
      <c r="U15" s="213">
        <f>VLOOKUP($O15,REPORTE_ENTIDAD!$A$61:$AJ$72,6,FALSE)</f>
        <v>90596.826019999993</v>
      </c>
      <c r="V15" s="213">
        <f>VLOOKUP($O15,REPORTE_ENTIDAD!$A$61:$AJ$72,11,FALSE)</f>
        <v>24611.617483950002</v>
      </c>
      <c r="W15" s="213">
        <f>VLOOKUP($O15,REPORTE_ENTIDAD!$A$61:$AJ$72,29,FALSE)</f>
        <v>65985.208536049991</v>
      </c>
      <c r="X15" s="234">
        <f t="shared" si="2"/>
        <v>0</v>
      </c>
      <c r="Y15" s="214" t="s">
        <v>516</v>
      </c>
    </row>
    <row r="16" spans="1:26">
      <c r="A16" s="182">
        <v>5</v>
      </c>
      <c r="B16" s="183" t="s">
        <v>7</v>
      </c>
      <c r="C16" s="184" t="s">
        <v>225</v>
      </c>
      <c r="D16" s="186">
        <f>VLOOKUP($B16,REPORTE_ENTIDAD!$A$61:$AJ$72,6,FALSE)</f>
        <v>80619.565000000002</v>
      </c>
      <c r="E16" s="186">
        <f>VLOOKUP($B16,REPORTE_ENTIDAD!$A$61:$AJ$72,34,FALSE)</f>
        <v>28219.698374342282</v>
      </c>
      <c r="F16" s="186">
        <f>VLOOKUP($B16,REPORTE_ENTIDAD!$A$61:$AJ$72,11,FALSE)</f>
        <v>24117.735328179999</v>
      </c>
      <c r="G16" s="187">
        <f t="shared" si="4"/>
        <v>0.29915486802961538</v>
      </c>
      <c r="H16" s="186">
        <f>VLOOKUP($B16,REPORTE_ENTIDAD!$A$61:$AJ$72,29,FALSE)</f>
        <v>56501.82967182</v>
      </c>
      <c r="I16" s="186">
        <f>VLOOKUP($B16,REPORTE_ENTIDAD!$A$61:$AJ$72,35,FALSE)</f>
        <v>13061.580982417789</v>
      </c>
      <c r="J16" s="186">
        <f>VLOOKUP($B16,REPORTE_ENTIDAD!$A$61:$AJ$72,17,FALSE)</f>
        <v>14422.26613584</v>
      </c>
      <c r="K16" s="187">
        <f t="shared" si="5"/>
        <v>0.17889287961104727</v>
      </c>
      <c r="L16" s="186">
        <f>VLOOKUP($B16,REPORTE_ENTIDAD!$A$61:$AJ$72,36,FALSE)</f>
        <v>12496.032575000001</v>
      </c>
      <c r="M16" s="186">
        <f>VLOOKUP($B16,REPORTE_ENTIDAD!$A$61:$AJ$72,22,FALSE)</f>
        <v>14389.257293840001</v>
      </c>
      <c r="O16" s="224" t="s">
        <v>256</v>
      </c>
      <c r="P16" s="208" t="s">
        <v>116</v>
      </c>
      <c r="Q16" s="208" t="s">
        <v>221</v>
      </c>
      <c r="R16" s="221" t="s">
        <v>392</v>
      </c>
      <c r="S16" s="207" t="s">
        <v>443</v>
      </c>
      <c r="T16" s="208" t="s">
        <v>515</v>
      </c>
      <c r="U16" s="213">
        <f>VLOOKUP($O16,REPORTE_ENTIDAD!$A$34:$AJ$40,6,FALSE)</f>
        <v>22180.405443</v>
      </c>
      <c r="V16" s="213">
        <f>VLOOKUP($O16,REPORTE_ENTIDAD!$A$34:$AJ$40,11,FALSE)</f>
        <v>0</v>
      </c>
      <c r="W16" s="213">
        <f>VLOOKUP($O16,REPORTE_ENTIDAD!$A$34:$AJ$40,29,FALSE)</f>
        <v>22180.405443</v>
      </c>
      <c r="X16" s="234">
        <f t="shared" si="2"/>
        <v>0</v>
      </c>
      <c r="Y16" s="214" t="s">
        <v>516</v>
      </c>
    </row>
    <row r="17" spans="1:25">
      <c r="A17" s="182">
        <v>6</v>
      </c>
      <c r="B17" s="183" t="s">
        <v>8</v>
      </c>
      <c r="C17" s="184" t="s">
        <v>225</v>
      </c>
      <c r="D17" s="186">
        <f>VLOOKUP($B17,REPORTE_ENTIDAD!$A$61:$AJ$72,6,FALSE)</f>
        <v>54952</v>
      </c>
      <c r="E17" s="186">
        <f>VLOOKUP($B17,REPORTE_ENTIDAD!$A$61:$AJ$72,34,FALSE)</f>
        <v>19235.143045820914</v>
      </c>
      <c r="F17" s="186">
        <f>VLOOKUP($B17,REPORTE_ENTIDAD!$A$61:$AJ$72,11,FALSE)</f>
        <v>16923.446704530001</v>
      </c>
      <c r="G17" s="187">
        <f t="shared" si="4"/>
        <v>0.30796780289216047</v>
      </c>
      <c r="H17" s="186">
        <f>VLOOKUP($B17,REPORTE_ENTIDAD!$A$61:$AJ$72,29,FALSE)</f>
        <v>38028.553295470003</v>
      </c>
      <c r="I17" s="186">
        <f>VLOOKUP($B17,REPORTE_ENTIDAD!$A$61:$AJ$72,35,FALSE)</f>
        <v>8903.0497515810493</v>
      </c>
      <c r="J17" s="186">
        <f>VLOOKUP($B17,REPORTE_ENTIDAD!$A$61:$AJ$72,17,FALSE)</f>
        <v>8676.8450198600003</v>
      </c>
      <c r="K17" s="187">
        <f t="shared" si="5"/>
        <v>0.15789862097576066</v>
      </c>
      <c r="L17" s="186">
        <f>VLOOKUP($B17,REPORTE_ENTIDAD!$A$61:$AJ$72,36,FALSE)</f>
        <v>8517.56</v>
      </c>
      <c r="M17" s="186">
        <f>VLOOKUP($B17,REPORTE_ENTIDAD!$A$61:$AJ$72,22,FALSE)</f>
        <v>8676.8450198600003</v>
      </c>
      <c r="O17" s="224" t="s">
        <v>261</v>
      </c>
      <c r="P17" s="208" t="s">
        <v>116</v>
      </c>
      <c r="Q17" s="208" t="s">
        <v>221</v>
      </c>
      <c r="R17" s="221" t="s">
        <v>392</v>
      </c>
      <c r="S17" s="207" t="s">
        <v>226</v>
      </c>
      <c r="T17" s="208" t="s">
        <v>515</v>
      </c>
      <c r="U17" s="213">
        <f>VLOOKUP($O17,REPORTE_ENTIDAD!$A$75:$AJ$86,6,FALSE)</f>
        <v>15727.900967</v>
      </c>
      <c r="V17" s="213">
        <f>VLOOKUP($O17,REPORTE_ENTIDAD!$A$75:$AJ$86,11,FALSE)</f>
        <v>15662.896876999999</v>
      </c>
      <c r="W17" s="213">
        <f>VLOOKUP($O17,REPORTE_ENTIDAD!$A$75:$AJ$86,29,FALSE)</f>
        <v>65.00409000000036</v>
      </c>
      <c r="X17" s="234">
        <f t="shared" si="2"/>
        <v>0</v>
      </c>
      <c r="Y17" s="214" t="s">
        <v>516</v>
      </c>
    </row>
    <row r="18" spans="1:25">
      <c r="A18" s="182">
        <v>7</v>
      </c>
      <c r="B18" s="183" t="s">
        <v>9</v>
      </c>
      <c r="C18" s="184" t="s">
        <v>225</v>
      </c>
      <c r="D18" s="186">
        <f>VLOOKUP($B18,REPORTE_ENTIDAD!$A$61:$AJ$72,6,FALSE)</f>
        <v>82511.565000000002</v>
      </c>
      <c r="E18" s="186">
        <f>VLOOKUP($B18,REPORTE_ENTIDAD!$A$61:$AJ$72,34,FALSE)</f>
        <v>28881.965273503243</v>
      </c>
      <c r="F18" s="186">
        <f>VLOOKUP($B18,REPORTE_ENTIDAD!$A$61:$AJ$72,11,FALSE)</f>
        <v>81100.574084000007</v>
      </c>
      <c r="G18" s="187">
        <f t="shared" si="4"/>
        <v>0.98289947698846825</v>
      </c>
      <c r="H18" s="186">
        <f>VLOOKUP($B18,REPORTE_ENTIDAD!$A$61:$AJ$72,29,FALSE)</f>
        <v>1410.9909159999952</v>
      </c>
      <c r="I18" s="186">
        <f>VLOOKUP($B18,REPORTE_ENTIDAD!$A$61:$AJ$72,35,FALSE)</f>
        <v>13368.113413084395</v>
      </c>
      <c r="J18" s="186">
        <f>VLOOKUP($B18,REPORTE_ENTIDAD!$A$61:$AJ$72,17,FALSE)</f>
        <v>81100.574084000007</v>
      </c>
      <c r="K18" s="187">
        <f t="shared" si="5"/>
        <v>0.98289947698846825</v>
      </c>
      <c r="L18" s="186">
        <f>VLOOKUP($B18,REPORTE_ENTIDAD!$A$61:$AJ$72,36,FALSE)</f>
        <v>12789.292574999999</v>
      </c>
      <c r="M18" s="186">
        <f>VLOOKUP($B18,REPORTE_ENTIDAD!$A$61:$AJ$72,22,FALSE)</f>
        <v>81100.574084000007</v>
      </c>
      <c r="O18" s="224" t="s">
        <v>8</v>
      </c>
      <c r="P18" s="208" t="s">
        <v>116</v>
      </c>
      <c r="Q18" s="208" t="s">
        <v>221</v>
      </c>
      <c r="R18" s="221" t="s">
        <v>8</v>
      </c>
      <c r="S18" s="207" t="s">
        <v>225</v>
      </c>
      <c r="T18" s="208" t="s">
        <v>515</v>
      </c>
      <c r="U18" s="213">
        <f>VLOOKUP($O18,REPORTE_ENTIDAD!$A$61:$AJ$72,6,FALSE)</f>
        <v>54952</v>
      </c>
      <c r="V18" s="213">
        <f>VLOOKUP($O18,REPORTE_ENTIDAD!$A$61:$AJ$72,11,FALSE)</f>
        <v>16923.446704530001</v>
      </c>
      <c r="W18" s="213">
        <f>VLOOKUP($O18,REPORTE_ENTIDAD!$A$61:$AJ$72,29,FALSE)</f>
        <v>38028.553295470003</v>
      </c>
      <c r="X18" s="234">
        <f t="shared" si="2"/>
        <v>0</v>
      </c>
      <c r="Y18" s="214" t="s">
        <v>516</v>
      </c>
    </row>
    <row r="19" spans="1:25">
      <c r="A19" s="182">
        <v>8</v>
      </c>
      <c r="B19" s="183" t="s">
        <v>261</v>
      </c>
      <c r="C19" s="184" t="s">
        <v>225</v>
      </c>
      <c r="D19" s="186">
        <f>VLOOKUP($B19,REPORTE_ENTIDAD!$A$61:$AJ$72,6,FALSE)</f>
        <v>90596.826019999993</v>
      </c>
      <c r="E19" s="186">
        <f>VLOOKUP($B19,REPORTE_ENTIDAD!$A$61:$AJ$72,34,FALSE)</f>
        <v>31712.092516961166</v>
      </c>
      <c r="F19" s="186">
        <f>VLOOKUP($B19,REPORTE_ENTIDAD!$A$61:$AJ$72,11,FALSE)</f>
        <v>24611.617483950002</v>
      </c>
      <c r="G19" s="187">
        <f t="shared" si="4"/>
        <v>0.27166092417538762</v>
      </c>
      <c r="H19" s="186">
        <f>VLOOKUP($B19,REPORTE_ENTIDAD!$A$61:$AJ$72,29,FALSE)</f>
        <v>65985.208536049991</v>
      </c>
      <c r="I19" s="186">
        <f>VLOOKUP($B19,REPORTE_ENTIDAD!$A$61:$AJ$72,35,FALSE)</f>
        <v>14678.047193758053</v>
      </c>
      <c r="J19" s="186">
        <f>VLOOKUP($B19,REPORTE_ENTIDAD!$A$61:$AJ$72,17,FALSE)</f>
        <v>22464.39826075</v>
      </c>
      <c r="K19" s="187">
        <f t="shared" si="5"/>
        <v>0.24796010244101488</v>
      </c>
      <c r="L19" s="186">
        <f>VLOOKUP($B19,REPORTE_ENTIDAD!$A$61:$AJ$72,36,FALSE)</f>
        <v>14042.508033099999</v>
      </c>
      <c r="M19" s="186">
        <f>VLOOKUP($B19,REPORTE_ENTIDAD!$A$61:$AJ$72,22,FALSE)</f>
        <v>21572.10441675</v>
      </c>
      <c r="O19" s="224" t="s">
        <v>8</v>
      </c>
      <c r="P19" s="208" t="s">
        <v>116</v>
      </c>
      <c r="Q19" s="208" t="s">
        <v>221</v>
      </c>
      <c r="R19" s="221" t="s">
        <v>8</v>
      </c>
      <c r="S19" s="207" t="s">
        <v>443</v>
      </c>
      <c r="T19" s="208" t="s">
        <v>515</v>
      </c>
      <c r="U19" s="213">
        <f>VLOOKUP($O19,REPORTE_ENTIDAD!$A$34:$AJ$40,6,FALSE)</f>
        <v>131.74877900000001</v>
      </c>
      <c r="V19" s="213">
        <f>VLOOKUP($O19,REPORTE_ENTIDAD!$A$34:$AJ$40,11,FALSE)</f>
        <v>0</v>
      </c>
      <c r="W19" s="213">
        <f>VLOOKUP($O19,REPORTE_ENTIDAD!$A$34:$AJ$40,29,FALSE)</f>
        <v>131.74877900000001</v>
      </c>
      <c r="X19" s="234">
        <f t="shared" si="2"/>
        <v>0</v>
      </c>
      <c r="Y19" s="214" t="s">
        <v>516</v>
      </c>
    </row>
    <row r="20" spans="1:25" ht="15.75" thickBot="1">
      <c r="A20" s="188">
        <v>9</v>
      </c>
      <c r="B20" s="189" t="s">
        <v>262</v>
      </c>
      <c r="C20" s="190" t="s">
        <v>225</v>
      </c>
      <c r="D20" s="186">
        <f>VLOOKUP($B20,REPORTE_ENTIDAD!$A$61:$AJ$72,6,FALSE)</f>
        <v>0</v>
      </c>
      <c r="E20" s="186">
        <f>VLOOKUP($B20,REPORTE_ENTIDAD!$A$61:$AJ$72,34,FALSE)</f>
        <v>0</v>
      </c>
      <c r="F20" s="200">
        <f>VLOOKUP($B20,REPORTE_ENTIDAD!$A$61:$AJ$72,11,FALSE)</f>
        <v>0</v>
      </c>
      <c r="G20" s="191">
        <f t="shared" si="4"/>
        <v>0</v>
      </c>
      <c r="H20" s="200">
        <f>VLOOKUP($B20,REPORTE_ENTIDAD!$A$61:$AJ$72,29,FALSE)</f>
        <v>0</v>
      </c>
      <c r="I20" s="200">
        <f>VLOOKUP($B20,REPORTE_ENTIDAD!$A$61:$AJ$72,35,FALSE)</f>
        <v>0</v>
      </c>
      <c r="J20" s="200">
        <f>VLOOKUP($B20,REPORTE_ENTIDAD!$A$61:$AJ$72,17,FALSE)</f>
        <v>0</v>
      </c>
      <c r="K20" s="191">
        <f t="shared" si="5"/>
        <v>0</v>
      </c>
      <c r="L20" s="200">
        <f>VLOOKUP($B20,REPORTE_ENTIDAD!$A$61:$AJ$72,36,FALSE)</f>
        <v>0</v>
      </c>
      <c r="M20" s="200">
        <f>VLOOKUP($B20,REPORTE_ENTIDAD!$A$61:$AJ$72,22,FALSE)</f>
        <v>0</v>
      </c>
      <c r="O20" s="224" t="s">
        <v>8</v>
      </c>
      <c r="P20" s="208" t="s">
        <v>116</v>
      </c>
      <c r="Q20" s="208" t="s">
        <v>221</v>
      </c>
      <c r="R20" s="221" t="s">
        <v>8</v>
      </c>
      <c r="S20" s="207" t="s">
        <v>226</v>
      </c>
      <c r="T20" s="208" t="s">
        <v>515</v>
      </c>
      <c r="U20" s="213">
        <f>VLOOKUP($O20,REPORTE_ENTIDAD!$A$75:$AJ$86,6,FALSE)</f>
        <v>35476.074634999997</v>
      </c>
      <c r="V20" s="213">
        <f>VLOOKUP($O20,REPORTE_ENTIDAD!$A$75:$AJ$86,11,FALSE)</f>
        <v>4982.3806919999997</v>
      </c>
      <c r="W20" s="213">
        <f>VLOOKUP($O20,REPORTE_ENTIDAD!$A$75:$AJ$86,29,FALSE)</f>
        <v>30493.693942999998</v>
      </c>
      <c r="X20" s="234">
        <f t="shared" si="2"/>
        <v>0</v>
      </c>
      <c r="Y20" s="214" t="s">
        <v>516</v>
      </c>
    </row>
    <row r="21" spans="1:25" ht="15.75" thickBot="1">
      <c r="A21" s="192">
        <v>10</v>
      </c>
      <c r="B21" s="193" t="s">
        <v>506</v>
      </c>
      <c r="C21" s="194" t="s">
        <v>225</v>
      </c>
      <c r="D21" s="204">
        <f>SUM(D12:D20)</f>
        <v>477534.63576600002</v>
      </c>
      <c r="E21" s="204">
        <f t="shared" ref="E21:F21" si="6">SUM(E12:E20)</f>
        <v>167154.0076483658</v>
      </c>
      <c r="F21" s="204">
        <f t="shared" si="6"/>
        <v>212278.58200533001</v>
      </c>
      <c r="G21" s="205">
        <f t="shared" si="4"/>
        <v>0.44453023112097378</v>
      </c>
      <c r="H21" s="204">
        <f t="shared" ref="H21" si="7">SUM(H12:H20)</f>
        <v>265256.05376067001</v>
      </c>
      <c r="I21" s="204">
        <f t="shared" ref="I21" si="8">SUM(I12:I20)</f>
        <v>77367.786801714828</v>
      </c>
      <c r="J21" s="204">
        <f t="shared" ref="J21" si="9">SUM(J12:J20)</f>
        <v>158057.96417673002</v>
      </c>
      <c r="K21" s="205">
        <f>IF(D21=0,0,J21/D21)</f>
        <v>0.3309874349180843</v>
      </c>
      <c r="L21" s="204">
        <f t="shared" ref="L21:M21" si="10">SUM(L12:L20)</f>
        <v>74017.868543730001</v>
      </c>
      <c r="M21" s="204">
        <f t="shared" si="10"/>
        <v>155999.41868447998</v>
      </c>
      <c r="O21" s="224" t="s">
        <v>260</v>
      </c>
      <c r="P21" s="208" t="s">
        <v>116</v>
      </c>
      <c r="Q21" s="208" t="s">
        <v>221</v>
      </c>
      <c r="R21" s="221" t="s">
        <v>260</v>
      </c>
      <c r="S21" s="207" t="s">
        <v>225</v>
      </c>
      <c r="T21" s="208" t="s">
        <v>515</v>
      </c>
      <c r="U21" s="213">
        <f>VLOOKUP($O21,REPORTE_ENTIDAD!$A$61:$AJ$72,6,FALSE)</f>
        <v>36287.817921000002</v>
      </c>
      <c r="V21" s="213">
        <f>VLOOKUP($O21,REPORTE_ENTIDAD!$A$61:$AJ$72,11,FALSE)</f>
        <v>36287.817921000002</v>
      </c>
      <c r="W21" s="213">
        <f>VLOOKUP($O21,REPORTE_ENTIDAD!$A$61:$AJ$72,29,FALSE)</f>
        <v>0</v>
      </c>
      <c r="X21" s="234">
        <f t="shared" si="2"/>
        <v>0</v>
      </c>
      <c r="Y21" s="214" t="s">
        <v>516</v>
      </c>
    </row>
    <row r="22" spans="1:25">
      <c r="A22" s="195">
        <v>1</v>
      </c>
      <c r="B22" s="206" t="s">
        <v>508</v>
      </c>
      <c r="C22" s="197" t="s">
        <v>226</v>
      </c>
      <c r="D22" s="186">
        <f>VLOOKUP($B22,REPORTE_ENTIDAD!$A$75:$AJ$86,6,FALSE)</f>
        <v>139640.50398400001</v>
      </c>
      <c r="E22" s="186">
        <f>VLOOKUP($B22,REPORTE_ENTIDAD!$A$75:$AJ$86,34,FALSE)</f>
        <v>48879.113938032562</v>
      </c>
      <c r="F22" s="198">
        <f>VLOOKUP($B22,REPORTE_ENTIDAD!$A$75:$AJ$86,11,FALSE)</f>
        <v>48352.100395829999</v>
      </c>
      <c r="G22" s="199">
        <f t="shared" si="4"/>
        <v>0.34626128534576311</v>
      </c>
      <c r="H22" s="198">
        <f>VLOOKUP($B22,REPORTE_ENTIDAD!$A$75:$AJ$86,29,FALSE)</f>
        <v>91288.403588170011</v>
      </c>
      <c r="I22" s="198">
        <f>VLOOKUP($B22,REPORTE_ENTIDAD!$A$75:$AJ$86,35,FALSE)</f>
        <v>22623.859992455305</v>
      </c>
      <c r="J22" s="198">
        <f>VLOOKUP($B22,REPORTE_ENTIDAD!$A$75:$AJ$86,17,FALSE)</f>
        <v>3761.2422243599999</v>
      </c>
      <c r="K22" s="199">
        <f t="shared" si="5"/>
        <v>2.6935180818245703E-2</v>
      </c>
      <c r="L22" s="198">
        <f>VLOOKUP($B22,REPORTE_ENTIDAD!$A$75:$AJ$86,36,FALSE)</f>
        <v>21644.27811752</v>
      </c>
      <c r="M22" s="200">
        <f>VLOOKUP($B22,REPORTE_ENTIDAD!$A$75:$AJ$86,22,FALSE)</f>
        <v>3761.2422243599999</v>
      </c>
      <c r="O22" s="224" t="s">
        <v>260</v>
      </c>
      <c r="P22" s="208" t="s">
        <v>116</v>
      </c>
      <c r="Q22" s="208" t="s">
        <v>221</v>
      </c>
      <c r="R22" s="221" t="s">
        <v>260</v>
      </c>
      <c r="S22" s="207" t="s">
        <v>226</v>
      </c>
      <c r="T22" s="208" t="s">
        <v>515</v>
      </c>
      <c r="U22" s="213">
        <f>VLOOKUP($O22,REPORTE_ENTIDAD!$A$75:$AJ$86,6,FALSE)</f>
        <v>40000</v>
      </c>
      <c r="V22" s="213">
        <f>VLOOKUP($O22,REPORTE_ENTIDAD!$A$75:$AJ$86,11,FALSE)</f>
        <v>40000</v>
      </c>
      <c r="W22" s="213">
        <f>VLOOKUP($O22,REPORTE_ENTIDAD!$A$75:$AJ$86,29,FALSE)</f>
        <v>0</v>
      </c>
      <c r="X22" s="234">
        <f t="shared" si="2"/>
        <v>0</v>
      </c>
      <c r="Y22" s="214" t="s">
        <v>516</v>
      </c>
    </row>
    <row r="23" spans="1:25">
      <c r="A23" s="182">
        <v>2</v>
      </c>
      <c r="B23" s="183" t="s">
        <v>17</v>
      </c>
      <c r="C23" s="184" t="s">
        <v>226</v>
      </c>
      <c r="D23" s="186">
        <f>VLOOKUP($B23,REPORTE_ENTIDAD!$A$75:$AJ$86,6,FALSE)</f>
        <v>43593.405896999997</v>
      </c>
      <c r="E23" s="186">
        <f>VLOOKUP($B23,REPORTE_ENTIDAD!$A$75:$AJ$86,34,FALSE)</f>
        <v>15259.233481644487</v>
      </c>
      <c r="F23" s="186">
        <f>VLOOKUP($B23,REPORTE_ENTIDAD!$A$75:$AJ$86,11,FALSE)</f>
        <v>0</v>
      </c>
      <c r="G23" s="187">
        <f t="shared" si="4"/>
        <v>0</v>
      </c>
      <c r="H23" s="186">
        <f>VLOOKUP($B23,REPORTE_ENTIDAD!$A$75:$AJ$86,29,FALSE)</f>
        <v>43593.405896999997</v>
      </c>
      <c r="I23" s="186">
        <f>VLOOKUP($B23,REPORTE_ENTIDAD!$A$75:$AJ$86,35,FALSE)</f>
        <v>7062.7868238072815</v>
      </c>
      <c r="J23" s="186">
        <f>VLOOKUP($B23,REPORTE_ENTIDAD!$A$75:$AJ$86,17,FALSE)</f>
        <v>0</v>
      </c>
      <c r="K23" s="187">
        <f t="shared" si="5"/>
        <v>0</v>
      </c>
      <c r="L23" s="186">
        <f>VLOOKUP($B23,REPORTE_ENTIDAD!$A$75:$AJ$86,36,FALSE)</f>
        <v>6756.9779140349992</v>
      </c>
      <c r="M23" s="200">
        <f>VLOOKUP($B23,REPORTE_ENTIDAD!$A$75:$AJ$86,22,FALSE)</f>
        <v>0</v>
      </c>
      <c r="O23" s="224" t="s">
        <v>237</v>
      </c>
      <c r="P23" s="208" t="s">
        <v>116</v>
      </c>
      <c r="Q23" s="208" t="s">
        <v>221</v>
      </c>
      <c r="R23" s="221" t="s">
        <v>237</v>
      </c>
      <c r="S23" s="207" t="s">
        <v>225</v>
      </c>
      <c r="T23" s="208" t="s">
        <v>515</v>
      </c>
      <c r="U23" s="213">
        <f>VLOOKUP($O23,REPORTE_ENTIDAD!$A$61:$AJ$72,6,FALSE)</f>
        <v>56889</v>
      </c>
      <c r="V23" s="213">
        <f>VLOOKUP($O23,REPORTE_ENTIDAD!$A$61:$AJ$72,11,FALSE)</f>
        <v>15317.42771057</v>
      </c>
      <c r="W23" s="213">
        <f>VLOOKUP($O23,REPORTE_ENTIDAD!$A$61:$AJ$72,29,FALSE)</f>
        <v>41571.572289429998</v>
      </c>
      <c r="X23" s="234">
        <f t="shared" si="2"/>
        <v>0</v>
      </c>
      <c r="Y23" s="214" t="s">
        <v>516</v>
      </c>
    </row>
    <row r="24" spans="1:25">
      <c r="A24" s="182">
        <v>3</v>
      </c>
      <c r="B24" s="183" t="s">
        <v>260</v>
      </c>
      <c r="C24" s="184" t="s">
        <v>226</v>
      </c>
      <c r="D24" s="186">
        <f>VLOOKUP($B24,REPORTE_ENTIDAD!$A$75:$AJ$86,6,FALSE)</f>
        <v>40000</v>
      </c>
      <c r="E24" s="186">
        <f>VLOOKUP($B24,REPORTE_ENTIDAD!$A$75:$AJ$86,34,FALSE)</f>
        <v>14001.414358582701</v>
      </c>
      <c r="F24" s="186">
        <f>VLOOKUP($B24,REPORTE_ENTIDAD!$A$75:$AJ$86,11,FALSE)</f>
        <v>40000</v>
      </c>
      <c r="G24" s="187">
        <f t="shared" si="4"/>
        <v>1</v>
      </c>
      <c r="H24" s="186">
        <f>VLOOKUP($B24,REPORTE_ENTIDAD!$A$75:$AJ$86,29,FALSE)</f>
        <v>0</v>
      </c>
      <c r="I24" s="186">
        <f>VLOOKUP($B24,REPORTE_ENTIDAD!$A$75:$AJ$86,35,FALSE)</f>
        <v>6480.601071175608</v>
      </c>
      <c r="J24" s="186">
        <f>VLOOKUP($B24,REPORTE_ENTIDAD!$A$75:$AJ$86,17,FALSE)</f>
        <v>10431.63736667</v>
      </c>
      <c r="K24" s="187">
        <f t="shared" si="5"/>
        <v>0.26079093416674998</v>
      </c>
      <c r="L24" s="186">
        <f>VLOOKUP($B24,REPORTE_ENTIDAD!$A$75:$AJ$86,36,FALSE)</f>
        <v>6200</v>
      </c>
      <c r="M24" s="200">
        <f>VLOOKUP($B24,REPORTE_ENTIDAD!$A$75:$AJ$86,22,FALSE)</f>
        <v>10431.63736667</v>
      </c>
      <c r="O24" s="224" t="s">
        <v>237</v>
      </c>
      <c r="P24" s="208" t="s">
        <v>116</v>
      </c>
      <c r="Q24" s="208" t="s">
        <v>221</v>
      </c>
      <c r="R24" s="221" t="s">
        <v>237</v>
      </c>
      <c r="S24" s="207" t="s">
        <v>443</v>
      </c>
      <c r="T24" s="208" t="s">
        <v>515</v>
      </c>
      <c r="U24" s="213">
        <f>VLOOKUP($O24,REPORTE_ENTIDAD!$A$34:$AJ$40,6,FALSE)</f>
        <v>109.11430300000001</v>
      </c>
      <c r="V24" s="213">
        <f>VLOOKUP($O24,REPORTE_ENTIDAD!$A$34:$AJ$40,11,FALSE)</f>
        <v>0</v>
      </c>
      <c r="W24" s="213">
        <f>VLOOKUP($O24,REPORTE_ENTIDAD!$A$34:$AJ$40,29,FALSE)</f>
        <v>109.11430300000001</v>
      </c>
      <c r="X24" s="234">
        <f t="shared" si="2"/>
        <v>0</v>
      </c>
      <c r="Y24" s="214" t="s">
        <v>516</v>
      </c>
    </row>
    <row r="25" spans="1:25">
      <c r="A25" s="182">
        <v>4</v>
      </c>
      <c r="B25" s="183" t="s">
        <v>237</v>
      </c>
      <c r="C25" s="184" t="s">
        <v>226</v>
      </c>
      <c r="D25" s="186">
        <f>VLOOKUP($B25,REPORTE_ENTIDAD!$A$75:$AJ$86,6,FALSE)</f>
        <v>90010.744263999994</v>
      </c>
      <c r="E25" s="186">
        <f>VLOOKUP($B25,REPORTE_ENTIDAD!$A$75:$AJ$86,34,FALSE)</f>
        <v>31506.943179117123</v>
      </c>
      <c r="F25" s="186">
        <f>VLOOKUP($B25,REPORTE_ENTIDAD!$A$75:$AJ$86,11,FALSE)</f>
        <v>38598.884645949998</v>
      </c>
      <c r="G25" s="187">
        <f t="shared" si="4"/>
        <v>0.42882530259654472</v>
      </c>
      <c r="H25" s="186">
        <f>VLOOKUP($B25,REPORTE_ENTIDAD!$A$75:$AJ$86,29,FALSE)</f>
        <v>51411.859618049995</v>
      </c>
      <c r="I25" s="186">
        <f>VLOOKUP($B25,REPORTE_ENTIDAD!$A$75:$AJ$86,35,FALSE)</f>
        <v>14583.093142364802</v>
      </c>
      <c r="J25" s="186">
        <f>VLOOKUP($B25,REPORTE_ENTIDAD!$A$75:$AJ$86,17,FALSE)</f>
        <v>1654.243318</v>
      </c>
      <c r="K25" s="187">
        <f t="shared" si="5"/>
        <v>1.8378287298104461E-2</v>
      </c>
      <c r="L25" s="186">
        <f>VLOOKUP($B25,REPORTE_ENTIDAD!$A$75:$AJ$86,36,FALSE)</f>
        <v>13951.665360919998</v>
      </c>
      <c r="M25" s="200">
        <f>VLOOKUP($B25,REPORTE_ENTIDAD!$A$75:$AJ$86,22,FALSE)</f>
        <v>1654.243318</v>
      </c>
      <c r="O25" s="225" t="s">
        <v>237</v>
      </c>
      <c r="P25" s="215" t="s">
        <v>116</v>
      </c>
      <c r="Q25" s="215" t="s">
        <v>221</v>
      </c>
      <c r="R25" s="222" t="s">
        <v>237</v>
      </c>
      <c r="S25" s="216" t="s">
        <v>226</v>
      </c>
      <c r="T25" s="215" t="s">
        <v>515</v>
      </c>
      <c r="U25" s="218">
        <f>VLOOKUP($O25,REPORTE_ENTIDAD!$A$75:$AJ$86,6,FALSE)</f>
        <v>90010.744263999994</v>
      </c>
      <c r="V25" s="217">
        <f>VLOOKUP($O25,REPORTE_ENTIDAD!$A$75:$AJ$86,11,FALSE)</f>
        <v>38598.884645949998</v>
      </c>
      <c r="W25" s="217">
        <f>VLOOKUP($O25,REPORTE_ENTIDAD!$A$75:$AJ$86,29,FALSE)</f>
        <v>51411.859618049995</v>
      </c>
      <c r="X25" s="234">
        <f t="shared" si="2"/>
        <v>0</v>
      </c>
      <c r="Y25" s="214" t="s">
        <v>516</v>
      </c>
    </row>
    <row r="26" spans="1:25">
      <c r="A26" s="182">
        <v>5</v>
      </c>
      <c r="B26" s="183" t="s">
        <v>7</v>
      </c>
      <c r="C26" s="184" t="s">
        <v>226</v>
      </c>
      <c r="D26" s="186">
        <f>VLOOKUP($B26,REPORTE_ENTIDAD!$A$75:$AJ$86,6,FALSE)</f>
        <v>3653.134329</v>
      </c>
      <c r="E26" s="186">
        <f>VLOOKUP($B26,REPORTE_ENTIDAD!$A$75:$AJ$86,34,FALSE)</f>
        <v>1278.7261861972995</v>
      </c>
      <c r="F26" s="186">
        <f>VLOOKUP($B26,REPORTE_ENTIDAD!$A$75:$AJ$86,11,FALSE)</f>
        <v>3190.0308260000002</v>
      </c>
      <c r="G26" s="187">
        <f t="shared" si="4"/>
        <v>0.87323118689512613</v>
      </c>
      <c r="H26" s="186">
        <f>VLOOKUP($B26,REPORTE_ENTIDAD!$A$75:$AJ$86,29,FALSE)</f>
        <v>463.10350299999982</v>
      </c>
      <c r="I26" s="186">
        <f>VLOOKUP($B26,REPORTE_ENTIDAD!$A$75:$AJ$86,35,FALSE)</f>
        <v>591.86265614164461</v>
      </c>
      <c r="J26" s="186">
        <f>VLOOKUP($B26,REPORTE_ENTIDAD!$A$75:$AJ$86,17,FALSE)</f>
        <v>545.21387500000003</v>
      </c>
      <c r="K26" s="187">
        <f t="shared" si="5"/>
        <v>0.14924550424326868</v>
      </c>
      <c r="L26" s="186">
        <f>VLOOKUP($B26,REPORTE_ENTIDAD!$A$75:$AJ$86,36,FALSE)</f>
        <v>566.23582099500004</v>
      </c>
      <c r="M26" s="200">
        <f>VLOOKUP($B26,REPORTE_ENTIDAD!$A$75:$AJ$86,22,FALSE)</f>
        <v>545.21387500000003</v>
      </c>
    </row>
    <row r="27" spans="1:25">
      <c r="A27" s="182">
        <v>6</v>
      </c>
      <c r="B27" s="183" t="s">
        <v>8</v>
      </c>
      <c r="C27" s="184" t="s">
        <v>226</v>
      </c>
      <c r="D27" s="186">
        <f>VLOOKUP($B27,REPORTE_ENTIDAD!$A$75:$AJ$86,6,FALSE)</f>
        <v>35476.074634999997</v>
      </c>
      <c r="E27" s="186">
        <f>VLOOKUP($B27,REPORTE_ENTIDAD!$A$75:$AJ$86,34,FALSE)</f>
        <v>12417.880519516011</v>
      </c>
      <c r="F27" s="186">
        <f>VLOOKUP($B27,REPORTE_ENTIDAD!$A$75:$AJ$86,11,FALSE)</f>
        <v>4982.3806919999997</v>
      </c>
      <c r="G27" s="187">
        <f t="shared" si="4"/>
        <v>0.14044340427349539</v>
      </c>
      <c r="H27" s="186">
        <f>VLOOKUP($B27,REPORTE_ENTIDAD!$A$75:$AJ$86,29,FALSE)</f>
        <v>30493.693942999998</v>
      </c>
      <c r="I27" s="186">
        <f>VLOOKUP($B27,REPORTE_ENTIDAD!$A$75:$AJ$86,35,FALSE)</f>
        <v>5747.6571820171703</v>
      </c>
      <c r="J27" s="186">
        <f>VLOOKUP($B27,REPORTE_ENTIDAD!$A$75:$AJ$86,17,FALSE)</f>
        <v>452.134274</v>
      </c>
      <c r="K27" s="187">
        <f t="shared" si="5"/>
        <v>1.2744766117780495E-2</v>
      </c>
      <c r="L27" s="186">
        <f>VLOOKUP($B27,REPORTE_ENTIDAD!$A$75:$AJ$86,36,FALSE)</f>
        <v>5498.7915684249992</v>
      </c>
      <c r="M27" s="200">
        <f>VLOOKUP($B27,REPORTE_ENTIDAD!$A$75:$AJ$86,22,FALSE)</f>
        <v>452.134274</v>
      </c>
      <c r="U27" s="228"/>
      <c r="V27" s="228"/>
      <c r="W27" s="228"/>
    </row>
    <row r="28" spans="1:25">
      <c r="A28" s="182">
        <v>7</v>
      </c>
      <c r="B28" s="183" t="s">
        <v>9</v>
      </c>
      <c r="C28" s="184" t="s">
        <v>226</v>
      </c>
      <c r="D28" s="186">
        <f>VLOOKUP($B28,REPORTE_ENTIDAD!$A$75:$AJ$86,6,FALSE)</f>
        <v>532206.06445099995</v>
      </c>
      <c r="E28" s="186">
        <f>VLOOKUP($B28,REPORTE_ENTIDAD!$A$75:$AJ$86,34,FALSE)</f>
        <v>186290.94081322552</v>
      </c>
      <c r="F28" s="186">
        <f>VLOOKUP($B28,REPORTE_ENTIDAD!$A$75:$AJ$86,11,FALSE)</f>
        <v>79677.281640059999</v>
      </c>
      <c r="G28" s="187">
        <f t="shared" si="4"/>
        <v>0.14971133732241765</v>
      </c>
      <c r="H28" s="186">
        <f>VLOOKUP($B28,REPORTE_ENTIDAD!$A$75:$AJ$86,29,FALSE)</f>
        <v>452528.78281093994</v>
      </c>
      <c r="I28" s="186">
        <f>VLOOKUP($B28,REPORTE_ENTIDAD!$A$75:$AJ$86,35,FALSE)</f>
        <v>86225.379784182616</v>
      </c>
      <c r="J28" s="186">
        <f>VLOOKUP($B28,REPORTE_ENTIDAD!$A$75:$AJ$86,17,FALSE)</f>
        <v>10377.135265139999</v>
      </c>
      <c r="K28" s="187">
        <f t="shared" si="5"/>
        <v>1.9498340883891636E-2</v>
      </c>
      <c r="L28" s="186">
        <f>VLOOKUP($B28,REPORTE_ENTIDAD!$A$75:$AJ$86,36,FALSE)</f>
        <v>82491.939989904989</v>
      </c>
      <c r="M28" s="200">
        <f>VLOOKUP($B28,REPORTE_ENTIDAD!$A$75:$AJ$86,22,FALSE)</f>
        <v>10341.947733139999</v>
      </c>
    </row>
    <row r="29" spans="1:25">
      <c r="A29" s="182">
        <v>8</v>
      </c>
      <c r="B29" s="183" t="s">
        <v>261</v>
      </c>
      <c r="C29" s="184" t="s">
        <v>226</v>
      </c>
      <c r="D29" s="186">
        <f>VLOOKUP($B29,REPORTE_ENTIDAD!$A$75:$AJ$86,6,FALSE)</f>
        <v>15727.900967</v>
      </c>
      <c r="E29" s="186">
        <f>VLOOKUP($B29,REPORTE_ENTIDAD!$A$75:$AJ$86,34,FALSE)</f>
        <v>5505.3214607430127</v>
      </c>
      <c r="F29" s="186">
        <f>VLOOKUP($B29,REPORTE_ENTIDAD!$A$75:$AJ$86,11,FALSE)</f>
        <v>15662.896876999999</v>
      </c>
      <c r="G29" s="187">
        <f t="shared" si="4"/>
        <v>0.99586695706334938</v>
      </c>
      <c r="H29" s="186">
        <f>VLOOKUP($B29,REPORTE_ENTIDAD!$A$75:$AJ$86,29,FALSE)</f>
        <v>65.00409000000036</v>
      </c>
      <c r="I29" s="186">
        <f>VLOOKUP($B29,REPORTE_ENTIDAD!$A$75:$AJ$86,35,FALSE)</f>
        <v>2548.1562963521019</v>
      </c>
      <c r="J29" s="186">
        <f>VLOOKUP($B29,REPORTE_ENTIDAD!$A$75:$AJ$86,17,FALSE)</f>
        <v>27.376393</v>
      </c>
      <c r="K29" s="187">
        <f t="shared" si="5"/>
        <v>1.7406259778364995E-3</v>
      </c>
      <c r="L29" s="186">
        <f>VLOOKUP($B29,REPORTE_ENTIDAD!$A$75:$AJ$86,36,FALSE)</f>
        <v>2437.8246498849999</v>
      </c>
      <c r="M29" s="200">
        <f>VLOOKUP($B29,REPORTE_ENTIDAD!$A$75:$AJ$86,22,FALSE)</f>
        <v>27.376393</v>
      </c>
    </row>
    <row r="30" spans="1:25">
      <c r="A30" s="182">
        <v>9</v>
      </c>
      <c r="B30" s="183" t="s">
        <v>262</v>
      </c>
      <c r="C30" s="184" t="s">
        <v>226</v>
      </c>
      <c r="D30" s="186">
        <f>VLOOKUP($B30,REPORTE_ENTIDAD!$A$75:$AJ$86,6,FALSE)</f>
        <v>1900.5941029999999</v>
      </c>
      <c r="E30" s="186">
        <f>VLOOKUP($B30,REPORTE_ENTIDAD!$A$75:$AJ$86,34,FALSE)</f>
        <v>665.27513908954518</v>
      </c>
      <c r="F30" s="186">
        <f>VLOOKUP($B30,REPORTE_ENTIDAD!$A$75:$AJ$86,11,FALSE)</f>
        <v>0</v>
      </c>
      <c r="G30" s="187">
        <f t="shared" si="4"/>
        <v>0</v>
      </c>
      <c r="H30" s="186">
        <f>VLOOKUP($B30,REPORTE_ENTIDAD!$A$75:$AJ$86,29,FALSE)</f>
        <v>1900.5941029999999</v>
      </c>
      <c r="I30" s="186">
        <f>VLOOKUP($B30,REPORTE_ENTIDAD!$A$75:$AJ$86,35,FALSE)</f>
        <v>307.9248044942961</v>
      </c>
      <c r="J30" s="186">
        <f>VLOOKUP($B30,REPORTE_ENTIDAD!$A$75:$AJ$86,17,FALSE)</f>
        <v>0</v>
      </c>
      <c r="K30" s="187">
        <f t="shared" si="5"/>
        <v>0</v>
      </c>
      <c r="L30" s="186">
        <f>VLOOKUP($B30,REPORTE_ENTIDAD!$A$75:$AJ$86,36,FALSE)</f>
        <v>294.59208596499997</v>
      </c>
      <c r="M30" s="200">
        <f>VLOOKUP($B30,REPORTE_ENTIDAD!$A$75:$AJ$86,22,FALSE)</f>
        <v>0</v>
      </c>
    </row>
    <row r="31" spans="1:25" ht="15.75" thickBot="1">
      <c r="A31" s="188">
        <v>9.1</v>
      </c>
      <c r="B31" s="189" t="s">
        <v>263</v>
      </c>
      <c r="C31" s="190" t="s">
        <v>226</v>
      </c>
      <c r="D31" s="186">
        <f>VLOOKUP($B31,REPORTE_ENTIDAD!$A$75:$AJ$86,6,FALSE)</f>
        <v>0</v>
      </c>
      <c r="E31" s="186">
        <f>VLOOKUP($B31,REPORTE_ENTIDAD!$A$75:$AJ$86,34,FALSE)</f>
        <v>0</v>
      </c>
      <c r="F31" s="186">
        <f>VLOOKUP($B31,REPORTE_ENTIDAD!$A$75:$AJ$86,11,FALSE)</f>
        <v>0</v>
      </c>
      <c r="G31" s="187">
        <f t="shared" si="4"/>
        <v>0</v>
      </c>
      <c r="H31" s="186">
        <f>VLOOKUP($B31,REPORTE_ENTIDAD!$A$75:$AJ$86,29,FALSE)</f>
        <v>0</v>
      </c>
      <c r="I31" s="186">
        <f>VLOOKUP($B31,REPORTE_ENTIDAD!$A$75:$AJ$86,35,FALSE)</f>
        <v>0</v>
      </c>
      <c r="J31" s="186">
        <f>VLOOKUP($B31,REPORTE_ENTIDAD!$A$75:$AJ$86,17,FALSE)</f>
        <v>0</v>
      </c>
      <c r="K31" s="187">
        <f t="shared" si="5"/>
        <v>0</v>
      </c>
      <c r="L31" s="186">
        <f>VLOOKUP($B31,REPORTE_ENTIDAD!$A$75:$AJ$86,36,FALSE)</f>
        <v>0</v>
      </c>
      <c r="M31" s="200">
        <f>VLOOKUP($B31,REPORTE_ENTIDAD!$A$75:$AJ$86,22,FALSE)</f>
        <v>0</v>
      </c>
    </row>
    <row r="32" spans="1:25" ht="15.75" thickBot="1">
      <c r="A32" s="192">
        <v>10</v>
      </c>
      <c r="B32" s="193" t="s">
        <v>506</v>
      </c>
      <c r="C32" s="194" t="s">
        <v>226</v>
      </c>
      <c r="D32" s="204">
        <f>SUM(D22:D31)</f>
        <v>902208.42263000004</v>
      </c>
      <c r="E32" s="204">
        <f>SUM(E22:E31)</f>
        <v>315804.8490761483</v>
      </c>
      <c r="F32" s="204">
        <f>SUM(F22:F31)</f>
        <v>230463.57507684</v>
      </c>
      <c r="G32" s="205">
        <f t="shared" ref="G32" si="11">IF(D32=0,0,F32/D32)</f>
        <v>0.25544383015736288</v>
      </c>
      <c r="H32" s="204">
        <f t="shared" ref="H32:J32" si="12">SUM(H22:H31)</f>
        <v>671744.84755315993</v>
      </c>
      <c r="I32" s="204">
        <f t="shared" si="12"/>
        <v>146171.32175299083</v>
      </c>
      <c r="J32" s="204">
        <f t="shared" si="12"/>
        <v>27248.982716170001</v>
      </c>
      <c r="K32" s="205">
        <f>IF(D32=0,0,J32/D32)</f>
        <v>3.0202536390357929E-2</v>
      </c>
      <c r="L32" s="204">
        <f t="shared" ref="L32:M32" si="13">SUM(L22:L31)</f>
        <v>139842.30550764999</v>
      </c>
      <c r="M32" s="204">
        <f t="shared" si="13"/>
        <v>27213.795184169998</v>
      </c>
    </row>
    <row r="33" spans="1:13">
      <c r="A33" s="195">
        <v>1</v>
      </c>
      <c r="B33" s="196" t="s">
        <v>6</v>
      </c>
      <c r="C33" s="197" t="s">
        <v>507</v>
      </c>
      <c r="D33" s="186">
        <f>VLOOKUP($B33,REPORTE_ENTIDAD!$A$34:$AJ$40,6,FALSE)</f>
        <v>4117.8464949999998</v>
      </c>
      <c r="E33" s="186">
        <f>VLOOKUP($B33,REPORTE_ENTIDAD!$A$34:$AJ$40,34,FALSE)</f>
        <v>1441.391876038311</v>
      </c>
      <c r="F33" s="186">
        <f>VLOOKUP($B33,REPORTE_ENTIDAD!$A$34:$AJ$40,11,FALSE)</f>
        <v>0</v>
      </c>
      <c r="G33" s="187">
        <f t="shared" si="4"/>
        <v>0</v>
      </c>
      <c r="H33" s="186">
        <f>VLOOKUP($B33,REPORTE_ENTIDAD!$A$34:$AJ$40,29,FALSE)</f>
        <v>4117.8464949999998</v>
      </c>
      <c r="I33" s="186">
        <f>VLOOKUP($B33,REPORTE_ENTIDAD!$A$34:$AJ$40,35,FALSE)</f>
        <v>667.153010160843</v>
      </c>
      <c r="J33" s="186">
        <f>VLOOKUP($B33,REPORTE_ENTIDAD!$A$34:$AJ$40,17,FALSE)</f>
        <v>0</v>
      </c>
      <c r="K33" s="187">
        <f t="shared" si="5"/>
        <v>0</v>
      </c>
      <c r="L33" s="186">
        <f>VLOOKUP($B33,REPORTE_ENTIDAD!$A$34:$AJ$40,36,FALSE)</f>
        <v>638.26620672499996</v>
      </c>
      <c r="M33" s="200">
        <f>VLOOKUP($B33,REPORTE_ENTIDAD!$A$34:$AJ$40,22,FALSE)</f>
        <v>0</v>
      </c>
    </row>
    <row r="34" spans="1:13">
      <c r="A34" s="182">
        <v>2</v>
      </c>
      <c r="B34" s="183" t="s">
        <v>237</v>
      </c>
      <c r="C34" s="184" t="s">
        <v>507</v>
      </c>
      <c r="D34" s="186">
        <f>VLOOKUP($B34,REPORTE_ENTIDAD!$A$34:$AJ$40,6,FALSE)</f>
        <v>109.11430300000001</v>
      </c>
      <c r="E34" s="186">
        <f>VLOOKUP($B34,REPORTE_ENTIDAD!$A$34:$AJ$40,34,FALSE)</f>
        <v>38.193864218773584</v>
      </c>
      <c r="F34" s="186">
        <f>VLOOKUP($B34,REPORTE_ENTIDAD!$A$34:$AJ$40,11,FALSE)</f>
        <v>0</v>
      </c>
      <c r="G34" s="187">
        <f t="shared" si="4"/>
        <v>0</v>
      </c>
      <c r="H34" s="186">
        <f>VLOOKUP($B34,REPORTE_ENTIDAD!$A$34:$AJ$40,29,FALSE)</f>
        <v>109.11430300000001</v>
      </c>
      <c r="I34" s="186">
        <f>VLOOKUP($B34,REPORTE_ENTIDAD!$A$34:$AJ$40,35,FALSE)</f>
        <v>17.678156722559496</v>
      </c>
      <c r="J34" s="186">
        <f>VLOOKUP($B34,REPORTE_ENTIDAD!$A$34:$AJ$40,17,FALSE)</f>
        <v>0</v>
      </c>
      <c r="K34" s="187">
        <f t="shared" si="5"/>
        <v>0</v>
      </c>
      <c r="L34" s="186">
        <f>VLOOKUP($B34,REPORTE_ENTIDAD!$A$34:$AJ$40,36,FALSE)</f>
        <v>16.912716965000001</v>
      </c>
      <c r="M34" s="200">
        <f>VLOOKUP($B34,REPORTE_ENTIDAD!$A$34:$AJ$40,22,FALSE)</f>
        <v>0</v>
      </c>
    </row>
    <row r="35" spans="1:13">
      <c r="A35" s="182">
        <v>3</v>
      </c>
      <c r="B35" s="183" t="s">
        <v>8</v>
      </c>
      <c r="C35" s="184" t="s">
        <v>507</v>
      </c>
      <c r="D35" s="186">
        <f>VLOOKUP($B35,REPORTE_ENTIDAD!$A$34:$AJ$40,6,FALSE)</f>
        <v>131.74877900000001</v>
      </c>
      <c r="E35" s="186">
        <f>VLOOKUP($B35,REPORTE_ENTIDAD!$A$34:$AJ$40,34,FALSE)</f>
        <v>46.116731150408476</v>
      </c>
      <c r="F35" s="186">
        <f>VLOOKUP($B35,REPORTE_ENTIDAD!$A$34:$AJ$40,11,FALSE)</f>
        <v>0</v>
      </c>
      <c r="G35" s="187">
        <f t="shared" si="4"/>
        <v>0</v>
      </c>
      <c r="H35" s="186">
        <f>VLOOKUP($B35,REPORTE_ENTIDAD!$A$34:$AJ$40,29,FALSE)</f>
        <v>131.74877900000001</v>
      </c>
      <c r="I35" s="186">
        <f>VLOOKUP($B35,REPORTE_ENTIDAD!$A$34:$AJ$40,35,FALSE)</f>
        <v>21.345281957836963</v>
      </c>
      <c r="J35" s="186">
        <f>VLOOKUP($B35,REPORTE_ENTIDAD!$A$34:$AJ$40,17,FALSE)</f>
        <v>0</v>
      </c>
      <c r="K35" s="187">
        <f t="shared" si="5"/>
        <v>0</v>
      </c>
      <c r="L35" s="186">
        <f>VLOOKUP($B35,REPORTE_ENTIDAD!$A$34:$AJ$40,36,FALSE)</f>
        <v>20.421060745000002</v>
      </c>
      <c r="M35" s="200">
        <f>VLOOKUP($B35,REPORTE_ENTIDAD!$A$34:$AJ$40,22,FALSE)</f>
        <v>0</v>
      </c>
    </row>
    <row r="36" spans="1:13" ht="15.75" thickBot="1">
      <c r="A36" s="188">
        <v>4</v>
      </c>
      <c r="B36" s="189" t="s">
        <v>256</v>
      </c>
      <c r="C36" s="190" t="s">
        <v>507</v>
      </c>
      <c r="D36" s="186">
        <f>VLOOKUP($B36,REPORTE_ENTIDAD!$A$34:$AJ$40,6,FALSE)</f>
        <v>22180.405443</v>
      </c>
      <c r="E36" s="186">
        <f>VLOOKUP($B36,REPORTE_ENTIDAD!$A$34:$AJ$40,34,FALSE)</f>
        <v>7763.9261812201521</v>
      </c>
      <c r="F36" s="186">
        <f>VLOOKUP($B36,REPORTE_ENTIDAD!$A$34:$AJ$40,11,FALSE)</f>
        <v>0</v>
      </c>
      <c r="G36" s="187">
        <f t="shared" si="4"/>
        <v>0</v>
      </c>
      <c r="H36" s="186">
        <f>VLOOKUP($B36,REPORTE_ENTIDAD!$A$34:$AJ$40,29,FALSE)</f>
        <v>22180.405443</v>
      </c>
      <c r="I36" s="186">
        <f>VLOOKUP($B36,REPORTE_ENTIDAD!$A$34:$AJ$40,35,FALSE)</f>
        <v>3593.558981825377</v>
      </c>
      <c r="J36" s="186">
        <f>VLOOKUP($B36,REPORTE_ENTIDAD!$A$34:$AJ$40,17,FALSE)</f>
        <v>0</v>
      </c>
      <c r="K36" s="187">
        <f t="shared" si="5"/>
        <v>0</v>
      </c>
      <c r="L36" s="186">
        <f>VLOOKUP($B36,REPORTE_ENTIDAD!$A$34:$AJ$40,36,FALSE)</f>
        <v>3437.962843665</v>
      </c>
      <c r="M36" s="200">
        <f>VLOOKUP($B36,REPORTE_ENTIDAD!$A$34:$AJ$40,22,FALSE)</f>
        <v>0</v>
      </c>
    </row>
    <row r="37" spans="1:13" ht="15.75" thickBot="1">
      <c r="A37" s="192">
        <v>5</v>
      </c>
      <c r="B37" s="193" t="s">
        <v>506</v>
      </c>
      <c r="C37" s="194" t="s">
        <v>507</v>
      </c>
      <c r="D37" s="204">
        <f>SUM(D33:D36)</f>
        <v>26539.115019999997</v>
      </c>
      <c r="E37" s="204">
        <f t="shared" ref="E37:F37" si="14">SUM(E33:E36)</f>
        <v>9289.6286526276454</v>
      </c>
      <c r="F37" s="204">
        <f t="shared" si="14"/>
        <v>0</v>
      </c>
      <c r="G37" s="205">
        <f t="shared" ref="G37" si="15">IF(D37=0,0,F37/D37)</f>
        <v>0</v>
      </c>
      <c r="H37" s="204">
        <f>SUM(H33:H36)</f>
        <v>26539.115019999997</v>
      </c>
      <c r="I37" s="204">
        <f t="shared" ref="I37" si="16">SUM(I33:I36)</f>
        <v>4299.7354306666166</v>
      </c>
      <c r="J37" s="204">
        <f t="shared" ref="J37" si="17">SUM(J33:J36)</f>
        <v>0</v>
      </c>
      <c r="K37" s="205">
        <f t="shared" ref="K37" si="18">IF(D37=0,0,J37/D37)</f>
        <v>0</v>
      </c>
      <c r="L37" s="204">
        <f t="shared" ref="L37:M37" si="19">SUM(L33:L36)</f>
        <v>4113.5628280999999</v>
      </c>
      <c r="M37" s="204">
        <f t="shared" si="19"/>
        <v>0</v>
      </c>
    </row>
    <row r="38" spans="1:13">
      <c r="A38" s="201"/>
      <c r="B38" s="201"/>
      <c r="C38" s="201"/>
      <c r="D38" s="201"/>
      <c r="E38" s="201"/>
      <c r="F38" s="201"/>
      <c r="G38" s="201"/>
      <c r="H38" s="201"/>
      <c r="I38" s="201"/>
      <c r="J38" s="201"/>
      <c r="K38" s="201"/>
      <c r="L38" s="201"/>
      <c r="M38" s="201"/>
    </row>
    <row r="39" spans="1:13">
      <c r="D39" s="185"/>
      <c r="E39" s="185"/>
      <c r="F39" s="185"/>
      <c r="G39" s="185"/>
      <c r="H39" s="185"/>
      <c r="I39" s="185"/>
      <c r="J39" s="185"/>
      <c r="K39" s="185"/>
      <c r="L39" s="185"/>
      <c r="M39" s="185"/>
    </row>
  </sheetData>
  <pageMargins left="0.7" right="0.7" top="0.75" bottom="0.75" header="0.3" footer="0.3"/>
  <pageSetup paperSize="9" orientation="portrait" r:id="rId1"/>
  <ignoredErrors>
    <ignoredError sqref="M5 M7 M9 K21 G21 G32 K32 G37 K37 U3:W3 U5:W5 U13:W13 U21:W2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sqref="A1:A5"/>
    </sheetView>
  </sheetViews>
  <sheetFormatPr baseColWidth="10" defaultRowHeight="15"/>
  <cols>
    <col min="2" max="2" width="59" customWidth="1"/>
  </cols>
  <sheetData>
    <row r="1" spans="1:5">
      <c r="A1" s="142" t="s">
        <v>13</v>
      </c>
      <c r="B1" s="142" t="s">
        <v>172</v>
      </c>
      <c r="C1" s="142" t="s">
        <v>542</v>
      </c>
      <c r="D1" s="142">
        <v>10</v>
      </c>
      <c r="E1" s="143">
        <v>0</v>
      </c>
    </row>
    <row r="2" spans="1:5">
      <c r="A2" s="142" t="s">
        <v>13</v>
      </c>
      <c r="B2" s="142" t="s">
        <v>172</v>
      </c>
      <c r="C2" s="142" t="s">
        <v>542</v>
      </c>
      <c r="D2" s="142">
        <v>11</v>
      </c>
      <c r="E2" s="143">
        <v>0</v>
      </c>
    </row>
    <row r="3" spans="1:5">
      <c r="A3" s="142" t="s">
        <v>13</v>
      </c>
      <c r="B3" s="142" t="s">
        <v>172</v>
      </c>
      <c r="C3" s="142" t="s">
        <v>158</v>
      </c>
      <c r="D3" s="142">
        <v>10</v>
      </c>
      <c r="E3" s="143">
        <v>0</v>
      </c>
    </row>
    <row r="4" spans="1:5">
      <c r="A4" s="142" t="s">
        <v>14</v>
      </c>
      <c r="B4" s="142" t="s">
        <v>394</v>
      </c>
      <c r="C4" s="142" t="s">
        <v>175</v>
      </c>
      <c r="D4" s="142">
        <v>10</v>
      </c>
      <c r="E4" s="143">
        <v>0</v>
      </c>
    </row>
    <row r="5" spans="1:5">
      <c r="A5" s="142" t="s">
        <v>15</v>
      </c>
      <c r="B5" s="142" t="s">
        <v>395</v>
      </c>
      <c r="C5" s="142" t="s">
        <v>130</v>
      </c>
      <c r="D5" s="142">
        <v>11</v>
      </c>
      <c r="E5" s="143">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G489"/>
  <sheetViews>
    <sheetView showGridLines="0" topLeftCell="A239" workbookViewId="0">
      <selection activeCell="A277" sqref="A277"/>
    </sheetView>
  </sheetViews>
  <sheetFormatPr baseColWidth="10" defaultColWidth="11.42578125" defaultRowHeight="15"/>
  <cols>
    <col min="1" max="1" width="13.42578125" style="27" customWidth="1"/>
    <col min="2" max="2" width="27" style="27" customWidth="1"/>
    <col min="3" max="3" width="21.42578125" style="27" customWidth="1"/>
    <col min="4" max="11" width="5.42578125" style="27" customWidth="1"/>
    <col min="12" max="12" width="9.42578125" style="27" customWidth="1"/>
    <col min="13" max="13" width="8" style="27" customWidth="1"/>
    <col min="14" max="14" width="9.42578125" style="27" customWidth="1"/>
    <col min="15" max="15" width="27.42578125" style="27" customWidth="1"/>
    <col min="16" max="26" width="18.85546875" style="27" customWidth="1"/>
    <col min="27" max="27" width="5.42578125" style="27" customWidth="1"/>
    <col min="28" max="28" width="10.85546875" customWidth="1"/>
    <col min="29" max="30" width="11.42578125" style="27"/>
    <col min="34" max="16384" width="11.42578125" style="27"/>
  </cols>
  <sheetData>
    <row r="1" spans="1:27">
      <c r="A1" s="25" t="s">
        <v>83</v>
      </c>
      <c r="B1" s="25">
        <v>2023</v>
      </c>
      <c r="C1" s="26" t="s">
        <v>84</v>
      </c>
      <c r="D1" s="26" t="s">
        <v>84</v>
      </c>
      <c r="E1" s="26" t="s">
        <v>84</v>
      </c>
      <c r="F1" s="26" t="s">
        <v>84</v>
      </c>
      <c r="G1" s="26" t="s">
        <v>84</v>
      </c>
      <c r="H1" s="26" t="s">
        <v>84</v>
      </c>
      <c r="I1" s="26" t="s">
        <v>84</v>
      </c>
      <c r="J1" s="26" t="s">
        <v>84</v>
      </c>
      <c r="K1" s="26" t="s">
        <v>84</v>
      </c>
      <c r="L1" s="26" t="s">
        <v>84</v>
      </c>
      <c r="M1" s="26" t="s">
        <v>84</v>
      </c>
      <c r="N1" s="26" t="s">
        <v>84</v>
      </c>
      <c r="O1" s="26" t="s">
        <v>84</v>
      </c>
      <c r="P1" s="26" t="s">
        <v>84</v>
      </c>
      <c r="Q1" s="26" t="s">
        <v>84</v>
      </c>
      <c r="R1" s="26" t="s">
        <v>84</v>
      </c>
      <c r="S1" s="26" t="s">
        <v>84</v>
      </c>
      <c r="T1" s="26" t="s">
        <v>84</v>
      </c>
      <c r="U1" s="26" t="s">
        <v>84</v>
      </c>
      <c r="V1" s="26" t="s">
        <v>84</v>
      </c>
      <c r="W1" s="26" t="s">
        <v>84</v>
      </c>
      <c r="X1" s="26" t="s">
        <v>84</v>
      </c>
      <c r="Y1" s="26" t="s">
        <v>84</v>
      </c>
      <c r="Z1" s="26" t="s">
        <v>84</v>
      </c>
      <c r="AA1" s="26" t="s">
        <v>84</v>
      </c>
    </row>
    <row r="2" spans="1:27">
      <c r="A2" s="25" t="s">
        <v>85</v>
      </c>
      <c r="B2" s="25" t="s">
        <v>86</v>
      </c>
      <c r="C2" s="26" t="s">
        <v>84</v>
      </c>
      <c r="D2" s="26" t="s">
        <v>84</v>
      </c>
      <c r="E2" s="26" t="s">
        <v>84</v>
      </c>
      <c r="F2" s="26" t="s">
        <v>84</v>
      </c>
      <c r="G2" s="26" t="s">
        <v>84</v>
      </c>
      <c r="H2" s="26" t="s">
        <v>84</v>
      </c>
      <c r="I2" s="26" t="s">
        <v>84</v>
      </c>
      <c r="J2" s="26" t="s">
        <v>84</v>
      </c>
      <c r="K2" s="26" t="s">
        <v>84</v>
      </c>
      <c r="L2" s="26" t="s">
        <v>84</v>
      </c>
      <c r="M2" s="26" t="s">
        <v>84</v>
      </c>
      <c r="N2" s="26" t="s">
        <v>84</v>
      </c>
      <c r="O2" s="26" t="s">
        <v>84</v>
      </c>
      <c r="P2" s="26" t="s">
        <v>84</v>
      </c>
      <c r="Q2" s="26" t="s">
        <v>84</v>
      </c>
      <c r="R2" s="26" t="s">
        <v>84</v>
      </c>
      <c r="S2" s="26" t="s">
        <v>84</v>
      </c>
      <c r="T2" s="26" t="s">
        <v>84</v>
      </c>
      <c r="U2" s="26" t="s">
        <v>84</v>
      </c>
      <c r="V2" s="26" t="s">
        <v>84</v>
      </c>
      <c r="W2" s="26" t="s">
        <v>84</v>
      </c>
      <c r="X2" s="26" t="s">
        <v>84</v>
      </c>
      <c r="Y2" s="26" t="s">
        <v>84</v>
      </c>
      <c r="Z2" s="26" t="s">
        <v>84</v>
      </c>
      <c r="AA2" s="26" t="s">
        <v>84</v>
      </c>
    </row>
    <row r="3" spans="1:27" ht="15.75" customHeight="1">
      <c r="A3" s="25" t="s">
        <v>87</v>
      </c>
      <c r="B3" s="67" t="s">
        <v>287</v>
      </c>
      <c r="C3" s="26" t="s">
        <v>84</v>
      </c>
      <c r="D3" s="26" t="s">
        <v>84</v>
      </c>
      <c r="E3" s="26" t="s">
        <v>84</v>
      </c>
      <c r="F3" s="26" t="s">
        <v>84</v>
      </c>
      <c r="G3" s="26" t="s">
        <v>84</v>
      </c>
      <c r="H3" s="26" t="s">
        <v>84</v>
      </c>
      <c r="I3" s="26" t="s">
        <v>84</v>
      </c>
      <c r="J3" s="26" t="s">
        <v>84</v>
      </c>
      <c r="K3" s="26" t="s">
        <v>84</v>
      </c>
      <c r="L3" s="26" t="s">
        <v>84</v>
      </c>
      <c r="M3" s="26" t="s">
        <v>84</v>
      </c>
      <c r="N3" s="26" t="s">
        <v>84</v>
      </c>
      <c r="O3" s="26" t="s">
        <v>84</v>
      </c>
      <c r="P3" s="26" t="s">
        <v>84</v>
      </c>
      <c r="Q3" s="26" t="s">
        <v>84</v>
      </c>
      <c r="R3" s="26" t="s">
        <v>84</v>
      </c>
      <c r="S3" s="26" t="s">
        <v>84</v>
      </c>
      <c r="T3" s="26" t="s">
        <v>84</v>
      </c>
      <c r="U3" s="26" t="s">
        <v>84</v>
      </c>
      <c r="V3" s="26" t="s">
        <v>84</v>
      </c>
      <c r="W3" s="26" t="s">
        <v>84</v>
      </c>
      <c r="X3" s="26" t="s">
        <v>84</v>
      </c>
      <c r="Y3" s="26" t="s">
        <v>84</v>
      </c>
      <c r="Z3" s="26" t="s">
        <v>84</v>
      </c>
      <c r="AA3" s="26" t="s">
        <v>84</v>
      </c>
    </row>
    <row r="4" spans="1:27" ht="23.45" customHeight="1">
      <c r="A4" s="25" t="s">
        <v>88</v>
      </c>
      <c r="B4" s="25" t="s">
        <v>89</v>
      </c>
      <c r="C4" s="25" t="s">
        <v>90</v>
      </c>
      <c r="D4" s="25" t="s">
        <v>91</v>
      </c>
      <c r="E4" s="25" t="s">
        <v>92</v>
      </c>
      <c r="F4" s="25" t="s">
        <v>93</v>
      </c>
      <c r="G4" s="25" t="s">
        <v>94</v>
      </c>
      <c r="H4" s="25" t="s">
        <v>95</v>
      </c>
      <c r="I4" s="25" t="s">
        <v>96</v>
      </c>
      <c r="J4" s="25" t="s">
        <v>97</v>
      </c>
      <c r="K4" s="25" t="s">
        <v>98</v>
      </c>
      <c r="L4" s="25" t="s">
        <v>99</v>
      </c>
      <c r="M4" s="25" t="s">
        <v>100</v>
      </c>
      <c r="N4" s="25" t="s">
        <v>101</v>
      </c>
      <c r="O4" s="25" t="s">
        <v>102</v>
      </c>
      <c r="P4" s="25" t="s">
        <v>103</v>
      </c>
      <c r="Q4" s="25" t="s">
        <v>104</v>
      </c>
      <c r="R4" s="25" t="s">
        <v>105</v>
      </c>
      <c r="S4" s="25" t="s">
        <v>106</v>
      </c>
      <c r="T4" s="25" t="s">
        <v>107</v>
      </c>
      <c r="U4" s="25" t="s">
        <v>108</v>
      </c>
      <c r="V4" s="25" t="s">
        <v>109</v>
      </c>
      <c r="W4" s="25" t="s">
        <v>110</v>
      </c>
      <c r="X4" s="25" t="s">
        <v>111</v>
      </c>
      <c r="Y4" s="25" t="s">
        <v>112</v>
      </c>
      <c r="Z4" s="25" t="s">
        <v>113</v>
      </c>
      <c r="AA4" s="25" t="s">
        <v>92</v>
      </c>
    </row>
    <row r="5" spans="1:27" s="229" customFormat="1" ht="33.75">
      <c r="A5" s="251" t="s">
        <v>10</v>
      </c>
      <c r="B5" s="252" t="s">
        <v>393</v>
      </c>
      <c r="C5" s="253" t="s">
        <v>306</v>
      </c>
      <c r="D5" s="251" t="s">
        <v>11</v>
      </c>
      <c r="E5" s="251" t="s">
        <v>307</v>
      </c>
      <c r="F5" s="251" t="s">
        <v>307</v>
      </c>
      <c r="G5" s="251" t="s">
        <v>307</v>
      </c>
      <c r="H5" s="251"/>
      <c r="I5" s="251"/>
      <c r="J5" s="251"/>
      <c r="K5" s="251"/>
      <c r="L5" s="251" t="s">
        <v>116</v>
      </c>
      <c r="M5" s="251" t="s">
        <v>117</v>
      </c>
      <c r="N5" s="251" t="s">
        <v>118</v>
      </c>
      <c r="O5" s="252" t="s">
        <v>308</v>
      </c>
      <c r="P5" s="254">
        <v>33034154224</v>
      </c>
      <c r="Q5" s="254">
        <v>0</v>
      </c>
      <c r="R5" s="254">
        <v>0</v>
      </c>
      <c r="S5" s="254">
        <v>33034154224</v>
      </c>
      <c r="T5" s="254">
        <v>0</v>
      </c>
      <c r="U5" s="254">
        <v>33034154224</v>
      </c>
      <c r="V5" s="254">
        <v>0</v>
      </c>
      <c r="W5" s="254">
        <v>1818661190</v>
      </c>
      <c r="X5" s="254">
        <v>1818661190</v>
      </c>
      <c r="Y5" s="254">
        <v>1818661190</v>
      </c>
      <c r="Z5" s="254">
        <v>1818661190</v>
      </c>
      <c r="AA5" s="231"/>
    </row>
    <row r="6" spans="1:27" s="229" customFormat="1" ht="33.75">
      <c r="A6" s="251" t="s">
        <v>10</v>
      </c>
      <c r="B6" s="252" t="s">
        <v>393</v>
      </c>
      <c r="C6" s="253" t="s">
        <v>309</v>
      </c>
      <c r="D6" s="251" t="s">
        <v>11</v>
      </c>
      <c r="E6" s="251" t="s">
        <v>307</v>
      </c>
      <c r="F6" s="251" t="s">
        <v>307</v>
      </c>
      <c r="G6" s="251" t="s">
        <v>310</v>
      </c>
      <c r="H6" s="251"/>
      <c r="I6" s="251"/>
      <c r="J6" s="251"/>
      <c r="K6" s="251"/>
      <c r="L6" s="251" t="s">
        <v>116</v>
      </c>
      <c r="M6" s="251" t="s">
        <v>117</v>
      </c>
      <c r="N6" s="251" t="s">
        <v>118</v>
      </c>
      <c r="O6" s="252" t="s">
        <v>311</v>
      </c>
      <c r="P6" s="254">
        <v>11410881705</v>
      </c>
      <c r="Q6" s="254">
        <v>0</v>
      </c>
      <c r="R6" s="254">
        <v>0</v>
      </c>
      <c r="S6" s="254">
        <v>11410881705</v>
      </c>
      <c r="T6" s="254">
        <v>0</v>
      </c>
      <c r="U6" s="254">
        <v>11410881705</v>
      </c>
      <c r="V6" s="254">
        <v>0</v>
      </c>
      <c r="W6" s="254">
        <v>1079164</v>
      </c>
      <c r="X6" s="254">
        <v>1079164</v>
      </c>
      <c r="Y6" s="254">
        <v>1079164</v>
      </c>
      <c r="Z6" s="254">
        <v>1079164</v>
      </c>
      <c r="AA6" s="231"/>
    </row>
    <row r="7" spans="1:27" s="229" customFormat="1" ht="33.75">
      <c r="A7" s="251" t="s">
        <v>10</v>
      </c>
      <c r="B7" s="252" t="s">
        <v>393</v>
      </c>
      <c r="C7" s="253" t="s">
        <v>312</v>
      </c>
      <c r="D7" s="251" t="s">
        <v>11</v>
      </c>
      <c r="E7" s="251" t="s">
        <v>307</v>
      </c>
      <c r="F7" s="251" t="s">
        <v>307</v>
      </c>
      <c r="G7" s="251" t="s">
        <v>313</v>
      </c>
      <c r="H7" s="251"/>
      <c r="I7" s="251"/>
      <c r="J7" s="251"/>
      <c r="K7" s="251"/>
      <c r="L7" s="251" t="s">
        <v>116</v>
      </c>
      <c r="M7" s="251" t="s">
        <v>117</v>
      </c>
      <c r="N7" s="251" t="s">
        <v>118</v>
      </c>
      <c r="O7" s="252" t="s">
        <v>314</v>
      </c>
      <c r="P7" s="254">
        <v>3068450133</v>
      </c>
      <c r="Q7" s="254">
        <v>0</v>
      </c>
      <c r="R7" s="254">
        <v>0</v>
      </c>
      <c r="S7" s="254">
        <v>3068450133</v>
      </c>
      <c r="T7" s="254">
        <v>0</v>
      </c>
      <c r="U7" s="254">
        <v>3068450133</v>
      </c>
      <c r="V7" s="254">
        <v>0</v>
      </c>
      <c r="W7" s="254">
        <v>75503047</v>
      </c>
      <c r="X7" s="254">
        <v>75503047</v>
      </c>
      <c r="Y7" s="254">
        <v>75503047</v>
      </c>
      <c r="Z7" s="254">
        <v>75503047</v>
      </c>
      <c r="AA7" s="231"/>
    </row>
    <row r="8" spans="1:27" s="229" customFormat="1" ht="33.75">
      <c r="A8" s="251" t="s">
        <v>10</v>
      </c>
      <c r="B8" s="252" t="s">
        <v>393</v>
      </c>
      <c r="C8" s="253" t="s">
        <v>432</v>
      </c>
      <c r="D8" s="251" t="s">
        <v>11</v>
      </c>
      <c r="E8" s="251" t="s">
        <v>310</v>
      </c>
      <c r="F8" s="251"/>
      <c r="G8" s="251"/>
      <c r="H8" s="251"/>
      <c r="I8" s="251"/>
      <c r="J8" s="251"/>
      <c r="K8" s="251"/>
      <c r="L8" s="251" t="s">
        <v>116</v>
      </c>
      <c r="M8" s="251" t="s">
        <v>117</v>
      </c>
      <c r="N8" s="251" t="s">
        <v>118</v>
      </c>
      <c r="O8" s="252" t="s">
        <v>433</v>
      </c>
      <c r="P8" s="254">
        <v>6599869299</v>
      </c>
      <c r="Q8" s="254">
        <v>0</v>
      </c>
      <c r="R8" s="254">
        <v>0</v>
      </c>
      <c r="S8" s="254">
        <v>6599869299</v>
      </c>
      <c r="T8" s="254">
        <v>0</v>
      </c>
      <c r="U8" s="254">
        <v>6234916493.9200001</v>
      </c>
      <c r="V8" s="254">
        <v>364952805.07999998</v>
      </c>
      <c r="W8" s="254">
        <v>2936977650.73</v>
      </c>
      <c r="X8" s="254">
        <v>109705492.76000001</v>
      </c>
      <c r="Y8" s="254">
        <v>93543992.760000005</v>
      </c>
      <c r="Z8" s="254">
        <v>89430996.760000005</v>
      </c>
      <c r="AA8" s="231"/>
    </row>
    <row r="9" spans="1:27" s="229" customFormat="1" ht="56.25">
      <c r="A9" s="251" t="s">
        <v>10</v>
      </c>
      <c r="B9" s="252" t="s">
        <v>393</v>
      </c>
      <c r="C9" s="253" t="s">
        <v>297</v>
      </c>
      <c r="D9" s="251" t="s">
        <v>11</v>
      </c>
      <c r="E9" s="251" t="s">
        <v>313</v>
      </c>
      <c r="F9" s="251" t="s">
        <v>313</v>
      </c>
      <c r="G9" s="251" t="s">
        <v>307</v>
      </c>
      <c r="H9" s="251" t="s">
        <v>315</v>
      </c>
      <c r="I9" s="251"/>
      <c r="J9" s="251"/>
      <c r="K9" s="251"/>
      <c r="L9" s="251" t="s">
        <v>116</v>
      </c>
      <c r="M9" s="251" t="s">
        <v>127</v>
      </c>
      <c r="N9" s="251" t="s">
        <v>126</v>
      </c>
      <c r="O9" s="252" t="s">
        <v>385</v>
      </c>
      <c r="P9" s="254">
        <v>11064778861</v>
      </c>
      <c r="Q9" s="254">
        <v>0</v>
      </c>
      <c r="R9" s="254">
        <v>0</v>
      </c>
      <c r="S9" s="254">
        <v>11064778861</v>
      </c>
      <c r="T9" s="254">
        <v>0</v>
      </c>
      <c r="U9" s="254">
        <v>0</v>
      </c>
      <c r="V9" s="254">
        <v>11064778861</v>
      </c>
      <c r="W9" s="254">
        <v>0</v>
      </c>
      <c r="X9" s="254">
        <v>0</v>
      </c>
      <c r="Y9" s="254">
        <v>0</v>
      </c>
      <c r="Z9" s="254">
        <v>0</v>
      </c>
      <c r="AA9" s="231"/>
    </row>
    <row r="10" spans="1:27" s="229" customFormat="1" ht="45">
      <c r="A10" s="251" t="s">
        <v>10</v>
      </c>
      <c r="B10" s="252" t="s">
        <v>393</v>
      </c>
      <c r="C10" s="253" t="s">
        <v>316</v>
      </c>
      <c r="D10" s="251" t="s">
        <v>11</v>
      </c>
      <c r="E10" s="251" t="s">
        <v>313</v>
      </c>
      <c r="F10" s="251" t="s">
        <v>313</v>
      </c>
      <c r="G10" s="251" t="s">
        <v>307</v>
      </c>
      <c r="H10" s="251" t="s">
        <v>317</v>
      </c>
      <c r="I10" s="251"/>
      <c r="J10" s="251"/>
      <c r="K10" s="251"/>
      <c r="L10" s="251" t="s">
        <v>116</v>
      </c>
      <c r="M10" s="251" t="s">
        <v>117</v>
      </c>
      <c r="N10" s="251" t="s">
        <v>118</v>
      </c>
      <c r="O10" s="252" t="s">
        <v>124</v>
      </c>
      <c r="P10" s="254">
        <v>1056000000</v>
      </c>
      <c r="Q10" s="254">
        <v>0</v>
      </c>
      <c r="R10" s="254">
        <v>0</v>
      </c>
      <c r="S10" s="254">
        <v>1056000000</v>
      </c>
      <c r="T10" s="254">
        <v>0</v>
      </c>
      <c r="U10" s="254">
        <v>1056000000</v>
      </c>
      <c r="V10" s="254">
        <v>0</v>
      </c>
      <c r="W10" s="254">
        <v>0</v>
      </c>
      <c r="X10" s="254">
        <v>0</v>
      </c>
      <c r="Y10" s="254">
        <v>0</v>
      </c>
      <c r="Z10" s="254">
        <v>0</v>
      </c>
      <c r="AA10" s="231"/>
    </row>
    <row r="11" spans="1:27" s="229" customFormat="1" ht="33.75">
      <c r="A11" s="251" t="s">
        <v>10</v>
      </c>
      <c r="B11" s="252" t="s">
        <v>393</v>
      </c>
      <c r="C11" s="253" t="s">
        <v>300</v>
      </c>
      <c r="D11" s="251" t="s">
        <v>11</v>
      </c>
      <c r="E11" s="251" t="s">
        <v>313</v>
      </c>
      <c r="F11" s="251" t="s">
        <v>313</v>
      </c>
      <c r="G11" s="251" t="s">
        <v>318</v>
      </c>
      <c r="H11" s="251" t="s">
        <v>319</v>
      </c>
      <c r="I11" s="251"/>
      <c r="J11" s="251"/>
      <c r="K11" s="251"/>
      <c r="L11" s="251" t="s">
        <v>116</v>
      </c>
      <c r="M11" s="251" t="s">
        <v>117</v>
      </c>
      <c r="N11" s="251" t="s">
        <v>118</v>
      </c>
      <c r="O11" s="252" t="s">
        <v>320</v>
      </c>
      <c r="P11" s="254">
        <v>36287817921</v>
      </c>
      <c r="Q11" s="254">
        <v>0</v>
      </c>
      <c r="R11" s="254">
        <v>0</v>
      </c>
      <c r="S11" s="254">
        <v>36287817921</v>
      </c>
      <c r="T11" s="254">
        <v>0</v>
      </c>
      <c r="U11" s="254">
        <v>36287817921</v>
      </c>
      <c r="V11" s="254">
        <v>0</v>
      </c>
      <c r="W11" s="254">
        <v>36287817921</v>
      </c>
      <c r="X11" s="254">
        <v>6047969654</v>
      </c>
      <c r="Y11" s="254">
        <v>6047969654</v>
      </c>
      <c r="Z11" s="254">
        <v>6047969654</v>
      </c>
      <c r="AA11" s="231"/>
    </row>
    <row r="12" spans="1:27" s="229" customFormat="1" ht="33.75">
      <c r="A12" s="251" t="s">
        <v>10</v>
      </c>
      <c r="B12" s="252" t="s">
        <v>393</v>
      </c>
      <c r="C12" s="253" t="s">
        <v>321</v>
      </c>
      <c r="D12" s="251" t="s">
        <v>11</v>
      </c>
      <c r="E12" s="251" t="s">
        <v>313</v>
      </c>
      <c r="F12" s="251" t="s">
        <v>318</v>
      </c>
      <c r="G12" s="251" t="s">
        <v>310</v>
      </c>
      <c r="H12" s="251" t="s">
        <v>322</v>
      </c>
      <c r="I12" s="251"/>
      <c r="J12" s="251"/>
      <c r="K12" s="251"/>
      <c r="L12" s="251" t="s">
        <v>116</v>
      </c>
      <c r="M12" s="251" t="s">
        <v>117</v>
      </c>
      <c r="N12" s="251" t="s">
        <v>118</v>
      </c>
      <c r="O12" s="252" t="s">
        <v>323</v>
      </c>
      <c r="P12" s="254">
        <v>32000000</v>
      </c>
      <c r="Q12" s="254">
        <v>0</v>
      </c>
      <c r="R12" s="254">
        <v>0</v>
      </c>
      <c r="S12" s="254">
        <v>32000000</v>
      </c>
      <c r="T12" s="254">
        <v>0</v>
      </c>
      <c r="U12" s="254">
        <v>32000000</v>
      </c>
      <c r="V12" s="254">
        <v>0</v>
      </c>
      <c r="W12" s="254">
        <v>1533678</v>
      </c>
      <c r="X12" s="254">
        <v>1533678</v>
      </c>
      <c r="Y12" s="254">
        <v>1533678</v>
      </c>
      <c r="Z12" s="254">
        <v>1533678</v>
      </c>
      <c r="AA12" s="231"/>
    </row>
    <row r="13" spans="1:27" s="229" customFormat="1" ht="33.75">
      <c r="A13" s="251" t="s">
        <v>10</v>
      </c>
      <c r="B13" s="252" t="s">
        <v>393</v>
      </c>
      <c r="C13" s="253" t="s">
        <v>324</v>
      </c>
      <c r="D13" s="251" t="s">
        <v>11</v>
      </c>
      <c r="E13" s="251" t="s">
        <v>313</v>
      </c>
      <c r="F13" s="251" t="s">
        <v>318</v>
      </c>
      <c r="G13" s="251" t="s">
        <v>310</v>
      </c>
      <c r="H13" s="251" t="s">
        <v>325</v>
      </c>
      <c r="I13" s="251"/>
      <c r="J13" s="251"/>
      <c r="K13" s="251"/>
      <c r="L13" s="251" t="s">
        <v>116</v>
      </c>
      <c r="M13" s="251" t="s">
        <v>117</v>
      </c>
      <c r="N13" s="251" t="s">
        <v>118</v>
      </c>
      <c r="O13" s="252" t="s">
        <v>326</v>
      </c>
      <c r="P13" s="254">
        <v>548000000</v>
      </c>
      <c r="Q13" s="254">
        <v>0</v>
      </c>
      <c r="R13" s="254">
        <v>0</v>
      </c>
      <c r="S13" s="254">
        <v>548000000</v>
      </c>
      <c r="T13" s="254">
        <v>0</v>
      </c>
      <c r="U13" s="254">
        <v>548000000</v>
      </c>
      <c r="V13" s="254">
        <v>0</v>
      </c>
      <c r="W13" s="254">
        <v>0</v>
      </c>
      <c r="X13" s="254">
        <v>0</v>
      </c>
      <c r="Y13" s="254">
        <v>0</v>
      </c>
      <c r="Z13" s="254">
        <v>0</v>
      </c>
      <c r="AA13" s="231"/>
    </row>
    <row r="14" spans="1:27" s="229" customFormat="1" ht="33.75">
      <c r="A14" s="251" t="s">
        <v>10</v>
      </c>
      <c r="B14" s="252" t="s">
        <v>393</v>
      </c>
      <c r="C14" s="253" t="s">
        <v>327</v>
      </c>
      <c r="D14" s="251" t="s">
        <v>11</v>
      </c>
      <c r="E14" s="251" t="s">
        <v>313</v>
      </c>
      <c r="F14" s="251" t="s">
        <v>318</v>
      </c>
      <c r="G14" s="251" t="s">
        <v>310</v>
      </c>
      <c r="H14" s="251" t="s">
        <v>328</v>
      </c>
      <c r="I14" s="251"/>
      <c r="J14" s="251"/>
      <c r="K14" s="251"/>
      <c r="L14" s="251" t="s">
        <v>116</v>
      </c>
      <c r="M14" s="251" t="s">
        <v>117</v>
      </c>
      <c r="N14" s="251" t="s">
        <v>118</v>
      </c>
      <c r="O14" s="252" t="s">
        <v>329</v>
      </c>
      <c r="P14" s="254">
        <v>7000000000</v>
      </c>
      <c r="Q14" s="254">
        <v>0</v>
      </c>
      <c r="R14" s="254">
        <v>0</v>
      </c>
      <c r="S14" s="254">
        <v>7000000000</v>
      </c>
      <c r="T14" s="254">
        <v>0</v>
      </c>
      <c r="U14" s="254">
        <v>7000000000</v>
      </c>
      <c r="V14" s="254">
        <v>0</v>
      </c>
      <c r="W14" s="254">
        <v>0</v>
      </c>
      <c r="X14" s="254">
        <v>0</v>
      </c>
      <c r="Y14" s="254">
        <v>0</v>
      </c>
      <c r="Z14" s="254">
        <v>0</v>
      </c>
      <c r="AA14" s="231"/>
    </row>
    <row r="15" spans="1:27" s="229" customFormat="1" ht="33.75">
      <c r="A15" s="251" t="s">
        <v>10</v>
      </c>
      <c r="B15" s="252" t="s">
        <v>393</v>
      </c>
      <c r="C15" s="253" t="s">
        <v>330</v>
      </c>
      <c r="D15" s="251" t="s">
        <v>11</v>
      </c>
      <c r="E15" s="251" t="s">
        <v>313</v>
      </c>
      <c r="F15" s="251" t="s">
        <v>318</v>
      </c>
      <c r="G15" s="251" t="s">
        <v>310</v>
      </c>
      <c r="H15" s="251" t="s">
        <v>331</v>
      </c>
      <c r="I15" s="251"/>
      <c r="J15" s="251"/>
      <c r="K15" s="251"/>
      <c r="L15" s="251" t="s">
        <v>116</v>
      </c>
      <c r="M15" s="251" t="s">
        <v>117</v>
      </c>
      <c r="N15" s="251" t="s">
        <v>118</v>
      </c>
      <c r="O15" s="252" t="s">
        <v>352</v>
      </c>
      <c r="P15" s="254">
        <v>108500000</v>
      </c>
      <c r="Q15" s="254">
        <v>0</v>
      </c>
      <c r="R15" s="254">
        <v>0</v>
      </c>
      <c r="S15" s="254">
        <v>108500000</v>
      </c>
      <c r="T15" s="254">
        <v>0</v>
      </c>
      <c r="U15" s="254">
        <v>108500000</v>
      </c>
      <c r="V15" s="254">
        <v>0</v>
      </c>
      <c r="W15" s="254">
        <v>12955802</v>
      </c>
      <c r="X15" s="254">
        <v>12955802</v>
      </c>
      <c r="Y15" s="254">
        <v>12955802</v>
      </c>
      <c r="Z15" s="254">
        <v>12955802</v>
      </c>
      <c r="AA15" s="231"/>
    </row>
    <row r="16" spans="1:27" s="229" customFormat="1" ht="33.75">
      <c r="A16" s="251" t="s">
        <v>10</v>
      </c>
      <c r="B16" s="252" t="s">
        <v>393</v>
      </c>
      <c r="C16" s="253" t="s">
        <v>434</v>
      </c>
      <c r="D16" s="251" t="s">
        <v>11</v>
      </c>
      <c r="E16" s="251" t="s">
        <v>313</v>
      </c>
      <c r="F16" s="251" t="s">
        <v>117</v>
      </c>
      <c r="G16" s="251"/>
      <c r="H16" s="251"/>
      <c r="I16" s="251"/>
      <c r="J16" s="251"/>
      <c r="K16" s="251"/>
      <c r="L16" s="251" t="s">
        <v>116</v>
      </c>
      <c r="M16" s="251" t="s">
        <v>117</v>
      </c>
      <c r="N16" s="251" t="s">
        <v>118</v>
      </c>
      <c r="O16" s="252" t="s">
        <v>435</v>
      </c>
      <c r="P16" s="254">
        <v>636105677</v>
      </c>
      <c r="Q16" s="254">
        <v>0</v>
      </c>
      <c r="R16" s="254">
        <v>0</v>
      </c>
      <c r="S16" s="254">
        <v>636105677</v>
      </c>
      <c r="T16" s="254">
        <v>0</v>
      </c>
      <c r="U16" s="254">
        <v>636105677</v>
      </c>
      <c r="V16" s="254">
        <v>0</v>
      </c>
      <c r="W16" s="254">
        <v>0</v>
      </c>
      <c r="X16" s="254">
        <v>0</v>
      </c>
      <c r="Y16" s="254">
        <v>0</v>
      </c>
      <c r="Z16" s="254">
        <v>0</v>
      </c>
      <c r="AA16" s="231"/>
    </row>
    <row r="17" spans="1:27" s="229" customFormat="1" ht="33.75">
      <c r="A17" s="251" t="s">
        <v>10</v>
      </c>
      <c r="B17" s="252" t="s">
        <v>393</v>
      </c>
      <c r="C17" s="253" t="s">
        <v>298</v>
      </c>
      <c r="D17" s="251" t="s">
        <v>11</v>
      </c>
      <c r="E17" s="251" t="s">
        <v>332</v>
      </c>
      <c r="F17" s="251" t="s">
        <v>307</v>
      </c>
      <c r="G17" s="251"/>
      <c r="H17" s="251"/>
      <c r="I17" s="251"/>
      <c r="J17" s="251"/>
      <c r="K17" s="251"/>
      <c r="L17" s="251" t="s">
        <v>116</v>
      </c>
      <c r="M17" s="251" t="s">
        <v>117</v>
      </c>
      <c r="N17" s="251" t="s">
        <v>118</v>
      </c>
      <c r="O17" s="252" t="s">
        <v>333</v>
      </c>
      <c r="P17" s="254">
        <v>171270680</v>
      </c>
      <c r="Q17" s="254">
        <v>0</v>
      </c>
      <c r="R17" s="254">
        <v>0</v>
      </c>
      <c r="S17" s="254">
        <v>171270680</v>
      </c>
      <c r="T17" s="254">
        <v>0</v>
      </c>
      <c r="U17" s="254">
        <v>171270680</v>
      </c>
      <c r="V17" s="254">
        <v>0</v>
      </c>
      <c r="W17" s="254">
        <v>0</v>
      </c>
      <c r="X17" s="254">
        <v>0</v>
      </c>
      <c r="Y17" s="254">
        <v>0</v>
      </c>
      <c r="Z17" s="254">
        <v>0</v>
      </c>
      <c r="AA17" s="231"/>
    </row>
    <row r="18" spans="1:27" s="229" customFormat="1" ht="33.75">
      <c r="A18" s="251" t="s">
        <v>10</v>
      </c>
      <c r="B18" s="252" t="s">
        <v>393</v>
      </c>
      <c r="C18" s="253" t="s">
        <v>294</v>
      </c>
      <c r="D18" s="251" t="s">
        <v>11</v>
      </c>
      <c r="E18" s="251" t="s">
        <v>332</v>
      </c>
      <c r="F18" s="251" t="s">
        <v>318</v>
      </c>
      <c r="G18" s="251" t="s">
        <v>307</v>
      </c>
      <c r="H18" s="251"/>
      <c r="I18" s="251"/>
      <c r="J18" s="251"/>
      <c r="K18" s="251"/>
      <c r="L18" s="251" t="s">
        <v>116</v>
      </c>
      <c r="M18" s="251" t="s">
        <v>125</v>
      </c>
      <c r="N18" s="251" t="s">
        <v>126</v>
      </c>
      <c r="O18" s="252" t="s">
        <v>334</v>
      </c>
      <c r="P18" s="254">
        <v>947851246</v>
      </c>
      <c r="Q18" s="254">
        <v>0</v>
      </c>
      <c r="R18" s="254">
        <v>0</v>
      </c>
      <c r="S18" s="254">
        <v>947851246</v>
      </c>
      <c r="T18" s="254">
        <v>0</v>
      </c>
      <c r="U18" s="254">
        <v>947851246</v>
      </c>
      <c r="V18" s="254">
        <v>0</v>
      </c>
      <c r="W18" s="254">
        <v>0</v>
      </c>
      <c r="X18" s="254">
        <v>0</v>
      </c>
      <c r="Y18" s="254">
        <v>0</v>
      </c>
      <c r="Z18" s="254">
        <v>0</v>
      </c>
      <c r="AA18" s="231"/>
    </row>
    <row r="19" spans="1:27" s="229" customFormat="1" ht="33.75">
      <c r="A19" s="251" t="s">
        <v>10</v>
      </c>
      <c r="B19" s="252" t="s">
        <v>393</v>
      </c>
      <c r="C19" s="253" t="s">
        <v>436</v>
      </c>
      <c r="D19" s="251" t="s">
        <v>430</v>
      </c>
      <c r="E19" s="251" t="s">
        <v>117</v>
      </c>
      <c r="F19" s="251" t="s">
        <v>318</v>
      </c>
      <c r="G19" s="251" t="s">
        <v>307</v>
      </c>
      <c r="H19" s="251"/>
      <c r="I19" s="251"/>
      <c r="J19" s="251"/>
      <c r="K19" s="251"/>
      <c r="L19" s="251" t="s">
        <v>116</v>
      </c>
      <c r="M19" s="251" t="s">
        <v>125</v>
      </c>
      <c r="N19" s="251" t="s">
        <v>118</v>
      </c>
      <c r="O19" s="252" t="s">
        <v>437</v>
      </c>
      <c r="P19" s="254">
        <v>4117846495</v>
      </c>
      <c r="Q19" s="254">
        <v>0</v>
      </c>
      <c r="R19" s="254">
        <v>0</v>
      </c>
      <c r="S19" s="254">
        <v>4117846495</v>
      </c>
      <c r="T19" s="254">
        <v>0</v>
      </c>
      <c r="U19" s="254">
        <v>0</v>
      </c>
      <c r="V19" s="254">
        <v>4117846495</v>
      </c>
      <c r="W19" s="254">
        <v>0</v>
      </c>
      <c r="X19" s="254">
        <v>0</v>
      </c>
      <c r="Y19" s="254">
        <v>0</v>
      </c>
      <c r="Z19" s="254">
        <v>0</v>
      </c>
      <c r="AA19" s="231"/>
    </row>
    <row r="20" spans="1:27" s="229" customFormat="1" ht="67.5">
      <c r="A20" s="251" t="s">
        <v>10</v>
      </c>
      <c r="B20" s="252" t="s">
        <v>393</v>
      </c>
      <c r="C20" s="253" t="s">
        <v>133</v>
      </c>
      <c r="D20" s="251" t="s">
        <v>16</v>
      </c>
      <c r="E20" s="251" t="s">
        <v>131</v>
      </c>
      <c r="F20" s="251" t="s">
        <v>132</v>
      </c>
      <c r="G20" s="251" t="s">
        <v>123</v>
      </c>
      <c r="H20" s="251"/>
      <c r="I20" s="251"/>
      <c r="J20" s="251"/>
      <c r="K20" s="251"/>
      <c r="L20" s="251" t="s">
        <v>116</v>
      </c>
      <c r="M20" s="251" t="s">
        <v>125</v>
      </c>
      <c r="N20" s="251" t="s">
        <v>118</v>
      </c>
      <c r="O20" s="252" t="s">
        <v>134</v>
      </c>
      <c r="P20" s="254">
        <v>6500000000</v>
      </c>
      <c r="Q20" s="254">
        <v>0</v>
      </c>
      <c r="R20" s="254">
        <v>0</v>
      </c>
      <c r="S20" s="254">
        <v>6500000000</v>
      </c>
      <c r="T20" s="254">
        <v>0</v>
      </c>
      <c r="U20" s="254">
        <v>6314000000</v>
      </c>
      <c r="V20" s="254">
        <v>186000000</v>
      </c>
      <c r="W20" s="254">
        <v>2024671081</v>
      </c>
      <c r="X20" s="254">
        <v>0</v>
      </c>
      <c r="Y20" s="254">
        <v>0</v>
      </c>
      <c r="Z20" s="254">
        <v>0</v>
      </c>
      <c r="AA20" s="231"/>
    </row>
    <row r="21" spans="1:27" s="229" customFormat="1" ht="45">
      <c r="A21" s="251" t="s">
        <v>10</v>
      </c>
      <c r="B21" s="252" t="s">
        <v>393</v>
      </c>
      <c r="C21" s="253" t="s">
        <v>292</v>
      </c>
      <c r="D21" s="251" t="s">
        <v>16</v>
      </c>
      <c r="E21" s="251" t="s">
        <v>131</v>
      </c>
      <c r="F21" s="251" t="s">
        <v>132</v>
      </c>
      <c r="G21" s="251" t="s">
        <v>119</v>
      </c>
      <c r="H21" s="251"/>
      <c r="I21" s="251"/>
      <c r="J21" s="251"/>
      <c r="K21" s="251"/>
      <c r="L21" s="251" t="s">
        <v>116</v>
      </c>
      <c r="M21" s="251" t="s">
        <v>125</v>
      </c>
      <c r="N21" s="251" t="s">
        <v>118</v>
      </c>
      <c r="O21" s="252" t="s">
        <v>335</v>
      </c>
      <c r="P21" s="254">
        <v>5000000000</v>
      </c>
      <c r="Q21" s="254">
        <v>0</v>
      </c>
      <c r="R21" s="254">
        <v>0</v>
      </c>
      <c r="S21" s="254">
        <v>5000000000</v>
      </c>
      <c r="T21" s="254">
        <v>0</v>
      </c>
      <c r="U21" s="254">
        <v>5000000000</v>
      </c>
      <c r="V21" s="254">
        <v>0</v>
      </c>
      <c r="W21" s="254">
        <v>1593957361</v>
      </c>
      <c r="X21" s="254">
        <v>0</v>
      </c>
      <c r="Y21" s="254">
        <v>0</v>
      </c>
      <c r="Z21" s="254">
        <v>0</v>
      </c>
      <c r="AA21" s="231"/>
    </row>
    <row r="22" spans="1:27" s="229" customFormat="1" ht="56.25">
      <c r="A22" s="251" t="s">
        <v>10</v>
      </c>
      <c r="B22" s="252" t="s">
        <v>393</v>
      </c>
      <c r="C22" s="253" t="s">
        <v>295</v>
      </c>
      <c r="D22" s="251" t="s">
        <v>16</v>
      </c>
      <c r="E22" s="251" t="s">
        <v>131</v>
      </c>
      <c r="F22" s="251" t="s">
        <v>132</v>
      </c>
      <c r="G22" s="251" t="s">
        <v>120</v>
      </c>
      <c r="H22" s="251"/>
      <c r="I22" s="251"/>
      <c r="J22" s="251"/>
      <c r="K22" s="251"/>
      <c r="L22" s="251" t="s">
        <v>116</v>
      </c>
      <c r="M22" s="251" t="s">
        <v>125</v>
      </c>
      <c r="N22" s="251" t="s">
        <v>118</v>
      </c>
      <c r="O22" s="252" t="s">
        <v>336</v>
      </c>
      <c r="P22" s="254">
        <v>2800000000</v>
      </c>
      <c r="Q22" s="254">
        <v>0</v>
      </c>
      <c r="R22" s="254">
        <v>0</v>
      </c>
      <c r="S22" s="254">
        <v>2800000000</v>
      </c>
      <c r="T22" s="254">
        <v>0</v>
      </c>
      <c r="U22" s="254">
        <v>2800000000</v>
      </c>
      <c r="V22" s="254">
        <v>0</v>
      </c>
      <c r="W22" s="254">
        <v>881376688</v>
      </c>
      <c r="X22" s="254">
        <v>0</v>
      </c>
      <c r="Y22" s="254">
        <v>0</v>
      </c>
      <c r="Z22" s="254">
        <v>0</v>
      </c>
      <c r="AA22" s="231"/>
    </row>
    <row r="23" spans="1:27" s="229" customFormat="1" ht="78.75">
      <c r="A23" s="251" t="s">
        <v>10</v>
      </c>
      <c r="B23" s="252" t="s">
        <v>393</v>
      </c>
      <c r="C23" s="253" t="s">
        <v>296</v>
      </c>
      <c r="D23" s="251" t="s">
        <v>16</v>
      </c>
      <c r="E23" s="251" t="s">
        <v>131</v>
      </c>
      <c r="F23" s="251" t="s">
        <v>132</v>
      </c>
      <c r="G23" s="251" t="s">
        <v>129</v>
      </c>
      <c r="H23" s="251"/>
      <c r="I23" s="251"/>
      <c r="J23" s="251"/>
      <c r="K23" s="251"/>
      <c r="L23" s="251" t="s">
        <v>116</v>
      </c>
      <c r="M23" s="251" t="s">
        <v>127</v>
      </c>
      <c r="N23" s="251" t="s">
        <v>126</v>
      </c>
      <c r="O23" s="252" t="s">
        <v>373</v>
      </c>
      <c r="P23" s="254">
        <v>43593405897</v>
      </c>
      <c r="Q23" s="254">
        <v>0</v>
      </c>
      <c r="R23" s="254">
        <v>0</v>
      </c>
      <c r="S23" s="254">
        <v>43593405897</v>
      </c>
      <c r="T23" s="254">
        <v>43593405897</v>
      </c>
      <c r="U23" s="254">
        <v>0</v>
      </c>
      <c r="V23" s="254">
        <v>0</v>
      </c>
      <c r="W23" s="254">
        <v>0</v>
      </c>
      <c r="X23" s="254">
        <v>0</v>
      </c>
      <c r="Y23" s="254">
        <v>0</v>
      </c>
      <c r="Z23" s="254">
        <v>0</v>
      </c>
      <c r="AA23" s="231"/>
    </row>
    <row r="24" spans="1:27" s="229" customFormat="1" ht="45">
      <c r="A24" s="251" t="s">
        <v>10</v>
      </c>
      <c r="B24" s="252" t="s">
        <v>393</v>
      </c>
      <c r="C24" s="253" t="s">
        <v>178</v>
      </c>
      <c r="D24" s="251" t="s">
        <v>16</v>
      </c>
      <c r="E24" s="251" t="s">
        <v>136</v>
      </c>
      <c r="F24" s="251" t="s">
        <v>132</v>
      </c>
      <c r="G24" s="251" t="s">
        <v>129</v>
      </c>
      <c r="H24" s="251"/>
      <c r="I24" s="251"/>
      <c r="J24" s="251"/>
      <c r="K24" s="251"/>
      <c r="L24" s="251" t="s">
        <v>116</v>
      </c>
      <c r="M24" s="251" t="s">
        <v>125</v>
      </c>
      <c r="N24" s="251" t="s">
        <v>118</v>
      </c>
      <c r="O24" s="252" t="s">
        <v>337</v>
      </c>
      <c r="P24" s="254">
        <v>20500000000</v>
      </c>
      <c r="Q24" s="254">
        <v>0</v>
      </c>
      <c r="R24" s="254">
        <v>0</v>
      </c>
      <c r="S24" s="254">
        <v>20500000000</v>
      </c>
      <c r="T24" s="254">
        <v>0</v>
      </c>
      <c r="U24" s="254">
        <v>8890000000</v>
      </c>
      <c r="V24" s="254">
        <v>11610000000</v>
      </c>
      <c r="W24" s="254">
        <v>1796338478</v>
      </c>
      <c r="X24" s="254">
        <v>2296100</v>
      </c>
      <c r="Y24" s="254">
        <v>2296100</v>
      </c>
      <c r="Z24" s="254">
        <v>2296100</v>
      </c>
      <c r="AA24" s="231"/>
    </row>
    <row r="25" spans="1:27" s="229" customFormat="1" ht="45">
      <c r="A25" s="251" t="s">
        <v>10</v>
      </c>
      <c r="B25" s="252" t="s">
        <v>393</v>
      </c>
      <c r="C25" s="253" t="s">
        <v>178</v>
      </c>
      <c r="D25" s="251" t="s">
        <v>16</v>
      </c>
      <c r="E25" s="251" t="s">
        <v>136</v>
      </c>
      <c r="F25" s="251" t="s">
        <v>132</v>
      </c>
      <c r="G25" s="251" t="s">
        <v>129</v>
      </c>
      <c r="H25" s="251"/>
      <c r="I25" s="251"/>
      <c r="J25" s="251"/>
      <c r="K25" s="251"/>
      <c r="L25" s="251" t="s">
        <v>116</v>
      </c>
      <c r="M25" s="251" t="s">
        <v>167</v>
      </c>
      <c r="N25" s="251" t="s">
        <v>118</v>
      </c>
      <c r="O25" s="252" t="s">
        <v>337</v>
      </c>
      <c r="P25" s="254">
        <v>17500000000</v>
      </c>
      <c r="Q25" s="254">
        <v>0</v>
      </c>
      <c r="R25" s="254">
        <v>0</v>
      </c>
      <c r="S25" s="254">
        <v>17500000000</v>
      </c>
      <c r="T25" s="254">
        <v>0</v>
      </c>
      <c r="U25" s="254">
        <v>0</v>
      </c>
      <c r="V25" s="254">
        <v>17500000000</v>
      </c>
      <c r="W25" s="254">
        <v>0</v>
      </c>
      <c r="X25" s="254">
        <v>0</v>
      </c>
      <c r="Y25" s="254">
        <v>0</v>
      </c>
      <c r="Z25" s="254">
        <v>0</v>
      </c>
      <c r="AA25" s="231"/>
    </row>
    <row r="26" spans="1:27" s="229" customFormat="1" ht="67.5">
      <c r="A26" s="251" t="s">
        <v>10</v>
      </c>
      <c r="B26" s="252" t="s">
        <v>393</v>
      </c>
      <c r="C26" s="253" t="s">
        <v>198</v>
      </c>
      <c r="D26" s="251" t="s">
        <v>16</v>
      </c>
      <c r="E26" s="251" t="s">
        <v>136</v>
      </c>
      <c r="F26" s="251" t="s">
        <v>132</v>
      </c>
      <c r="G26" s="251" t="s">
        <v>144</v>
      </c>
      <c r="H26" s="251" t="s">
        <v>84</v>
      </c>
      <c r="I26" s="251" t="s">
        <v>84</v>
      </c>
      <c r="J26" s="251" t="s">
        <v>84</v>
      </c>
      <c r="K26" s="251" t="s">
        <v>84</v>
      </c>
      <c r="L26" s="251" t="s">
        <v>116</v>
      </c>
      <c r="M26" s="251" t="s">
        <v>125</v>
      </c>
      <c r="N26" s="251" t="s">
        <v>118</v>
      </c>
      <c r="O26" s="252" t="s">
        <v>527</v>
      </c>
      <c r="P26" s="254">
        <v>400000000</v>
      </c>
      <c r="Q26" s="254">
        <v>0</v>
      </c>
      <c r="R26" s="254">
        <v>0</v>
      </c>
      <c r="S26" s="254">
        <v>400000000</v>
      </c>
      <c r="T26" s="254">
        <v>0</v>
      </c>
      <c r="U26" s="254">
        <v>0</v>
      </c>
      <c r="V26" s="254">
        <v>400000000</v>
      </c>
      <c r="W26" s="254">
        <v>0</v>
      </c>
      <c r="X26" s="254">
        <v>0</v>
      </c>
      <c r="Y26" s="254">
        <v>0</v>
      </c>
      <c r="Z26" s="254">
        <v>0</v>
      </c>
      <c r="AA26" s="231"/>
    </row>
    <row r="27" spans="1:27" s="229" customFormat="1" ht="67.5">
      <c r="A27" s="251" t="s">
        <v>10</v>
      </c>
      <c r="B27" s="252" t="s">
        <v>393</v>
      </c>
      <c r="C27" s="253" t="s">
        <v>137</v>
      </c>
      <c r="D27" s="251" t="s">
        <v>16</v>
      </c>
      <c r="E27" s="251" t="s">
        <v>138</v>
      </c>
      <c r="F27" s="251" t="s">
        <v>132</v>
      </c>
      <c r="G27" s="251" t="s">
        <v>122</v>
      </c>
      <c r="H27" s="251"/>
      <c r="I27" s="251"/>
      <c r="J27" s="251"/>
      <c r="K27" s="251"/>
      <c r="L27" s="251" t="s">
        <v>116</v>
      </c>
      <c r="M27" s="251" t="s">
        <v>125</v>
      </c>
      <c r="N27" s="251" t="s">
        <v>118</v>
      </c>
      <c r="O27" s="252" t="s">
        <v>139</v>
      </c>
      <c r="P27" s="254">
        <v>7000000000</v>
      </c>
      <c r="Q27" s="254">
        <v>0</v>
      </c>
      <c r="R27" s="254">
        <v>0</v>
      </c>
      <c r="S27" s="254">
        <v>7000000000</v>
      </c>
      <c r="T27" s="254">
        <v>0</v>
      </c>
      <c r="U27" s="254">
        <v>6416682500</v>
      </c>
      <c r="V27" s="254">
        <v>583317500</v>
      </c>
      <c r="W27" s="254">
        <v>1375585999</v>
      </c>
      <c r="X27" s="254">
        <v>1333333</v>
      </c>
      <c r="Y27" s="254">
        <v>1333333</v>
      </c>
      <c r="Z27" s="254">
        <v>0</v>
      </c>
      <c r="AA27" s="231"/>
    </row>
    <row r="28" spans="1:27" s="229" customFormat="1" ht="101.25">
      <c r="A28" s="251" t="s">
        <v>10</v>
      </c>
      <c r="B28" s="252" t="s">
        <v>393</v>
      </c>
      <c r="C28" s="253" t="s">
        <v>141</v>
      </c>
      <c r="D28" s="251" t="s">
        <v>16</v>
      </c>
      <c r="E28" s="251" t="s">
        <v>140</v>
      </c>
      <c r="F28" s="251" t="s">
        <v>132</v>
      </c>
      <c r="G28" s="251" t="s">
        <v>129</v>
      </c>
      <c r="H28" s="251"/>
      <c r="I28" s="251"/>
      <c r="J28" s="251"/>
      <c r="K28" s="251"/>
      <c r="L28" s="251" t="s">
        <v>116</v>
      </c>
      <c r="M28" s="251" t="s">
        <v>125</v>
      </c>
      <c r="N28" s="251" t="s">
        <v>118</v>
      </c>
      <c r="O28" s="252" t="s">
        <v>142</v>
      </c>
      <c r="P28" s="254">
        <v>5000000000</v>
      </c>
      <c r="Q28" s="254">
        <v>0</v>
      </c>
      <c r="R28" s="254">
        <v>0</v>
      </c>
      <c r="S28" s="254">
        <v>5000000000</v>
      </c>
      <c r="T28" s="254">
        <v>0</v>
      </c>
      <c r="U28" s="254">
        <v>5000000000</v>
      </c>
      <c r="V28" s="254">
        <v>0</v>
      </c>
      <c r="W28" s="254">
        <v>5000000000</v>
      </c>
      <c r="X28" s="254">
        <v>1246637366.6700001</v>
      </c>
      <c r="Y28" s="254">
        <v>1246637366.6700001</v>
      </c>
      <c r="Z28" s="254">
        <v>1246637366.6700001</v>
      </c>
      <c r="AA28" s="231"/>
    </row>
    <row r="29" spans="1:27" s="229" customFormat="1" ht="90">
      <c r="A29" s="251" t="s">
        <v>10</v>
      </c>
      <c r="B29" s="252" t="s">
        <v>393</v>
      </c>
      <c r="C29" s="253" t="s">
        <v>143</v>
      </c>
      <c r="D29" s="251" t="s">
        <v>16</v>
      </c>
      <c r="E29" s="251" t="s">
        <v>140</v>
      </c>
      <c r="F29" s="251" t="s">
        <v>132</v>
      </c>
      <c r="G29" s="251" t="s">
        <v>144</v>
      </c>
      <c r="H29" s="251"/>
      <c r="I29" s="251"/>
      <c r="J29" s="251"/>
      <c r="K29" s="251"/>
      <c r="L29" s="251" t="s">
        <v>116</v>
      </c>
      <c r="M29" s="251" t="s">
        <v>125</v>
      </c>
      <c r="N29" s="251" t="s">
        <v>118</v>
      </c>
      <c r="O29" s="252" t="s">
        <v>145</v>
      </c>
      <c r="P29" s="254">
        <v>8200000000</v>
      </c>
      <c r="Q29" s="254">
        <v>0</v>
      </c>
      <c r="R29" s="254">
        <v>0</v>
      </c>
      <c r="S29" s="254">
        <v>8200000000</v>
      </c>
      <c r="T29" s="254">
        <v>0</v>
      </c>
      <c r="U29" s="254">
        <v>8200000000</v>
      </c>
      <c r="V29" s="254">
        <v>0</v>
      </c>
      <c r="W29" s="254">
        <v>8200000000</v>
      </c>
      <c r="X29" s="254">
        <v>966666666.33000004</v>
      </c>
      <c r="Y29" s="254">
        <v>966666666.33000004</v>
      </c>
      <c r="Z29" s="254">
        <v>966666666.33000004</v>
      </c>
      <c r="AA29" s="231"/>
    </row>
    <row r="30" spans="1:27" s="229" customFormat="1" ht="67.5">
      <c r="A30" s="251" t="s">
        <v>10</v>
      </c>
      <c r="B30" s="252" t="s">
        <v>393</v>
      </c>
      <c r="C30" s="253" t="s">
        <v>146</v>
      </c>
      <c r="D30" s="251" t="s">
        <v>16</v>
      </c>
      <c r="E30" s="251" t="s">
        <v>140</v>
      </c>
      <c r="F30" s="251" t="s">
        <v>132</v>
      </c>
      <c r="G30" s="251" t="s">
        <v>128</v>
      </c>
      <c r="H30" s="251"/>
      <c r="I30" s="251"/>
      <c r="J30" s="251"/>
      <c r="K30" s="251"/>
      <c r="L30" s="251" t="s">
        <v>116</v>
      </c>
      <c r="M30" s="251" t="s">
        <v>125</v>
      </c>
      <c r="N30" s="251" t="s">
        <v>118</v>
      </c>
      <c r="O30" s="252" t="s">
        <v>147</v>
      </c>
      <c r="P30" s="254">
        <v>7400000000</v>
      </c>
      <c r="Q30" s="254">
        <v>0</v>
      </c>
      <c r="R30" s="254">
        <v>0</v>
      </c>
      <c r="S30" s="254">
        <v>7400000000</v>
      </c>
      <c r="T30" s="254">
        <v>0</v>
      </c>
      <c r="U30" s="254">
        <v>7400000000</v>
      </c>
      <c r="V30" s="254">
        <v>0</v>
      </c>
      <c r="W30" s="254">
        <v>7400000000</v>
      </c>
      <c r="X30" s="254">
        <v>1132470926</v>
      </c>
      <c r="Y30" s="254">
        <v>1132470926</v>
      </c>
      <c r="Z30" s="254">
        <v>1132470926</v>
      </c>
      <c r="AA30" s="231"/>
    </row>
    <row r="31" spans="1:27" s="229" customFormat="1" ht="112.5">
      <c r="A31" s="251" t="s">
        <v>10</v>
      </c>
      <c r="B31" s="252" t="s">
        <v>393</v>
      </c>
      <c r="C31" s="253" t="s">
        <v>305</v>
      </c>
      <c r="D31" s="251" t="s">
        <v>16</v>
      </c>
      <c r="E31" s="251" t="s">
        <v>140</v>
      </c>
      <c r="F31" s="251" t="s">
        <v>132</v>
      </c>
      <c r="G31" s="251" t="s">
        <v>117</v>
      </c>
      <c r="H31" s="251"/>
      <c r="I31" s="251"/>
      <c r="J31" s="251"/>
      <c r="K31" s="251"/>
      <c r="L31" s="251" t="s">
        <v>116</v>
      </c>
      <c r="M31" s="251" t="s">
        <v>125</v>
      </c>
      <c r="N31" s="251" t="s">
        <v>118</v>
      </c>
      <c r="O31" s="252" t="s">
        <v>338</v>
      </c>
      <c r="P31" s="254">
        <v>3840503984</v>
      </c>
      <c r="Q31" s="254">
        <v>0</v>
      </c>
      <c r="R31" s="254">
        <v>0</v>
      </c>
      <c r="S31" s="254">
        <v>3840503984</v>
      </c>
      <c r="T31" s="254">
        <v>0</v>
      </c>
      <c r="U31" s="254">
        <v>2841688550</v>
      </c>
      <c r="V31" s="254">
        <v>998815434</v>
      </c>
      <c r="W31" s="254">
        <v>514368000</v>
      </c>
      <c r="X31" s="254">
        <v>2600000</v>
      </c>
      <c r="Y31" s="254">
        <v>2600000</v>
      </c>
      <c r="Z31" s="254">
        <v>0</v>
      </c>
      <c r="AA31" s="231"/>
    </row>
    <row r="32" spans="1:27" s="229" customFormat="1" ht="67.5">
      <c r="A32" s="251" t="s">
        <v>10</v>
      </c>
      <c r="B32" s="252" t="s">
        <v>393</v>
      </c>
      <c r="C32" s="253" t="s">
        <v>299</v>
      </c>
      <c r="D32" s="251" t="s">
        <v>16</v>
      </c>
      <c r="E32" s="251" t="s">
        <v>140</v>
      </c>
      <c r="F32" s="251" t="s">
        <v>132</v>
      </c>
      <c r="G32" s="251" t="s">
        <v>125</v>
      </c>
      <c r="H32" s="251"/>
      <c r="I32" s="251"/>
      <c r="J32" s="251"/>
      <c r="K32" s="251"/>
      <c r="L32" s="251" t="s">
        <v>116</v>
      </c>
      <c r="M32" s="251" t="s">
        <v>125</v>
      </c>
      <c r="N32" s="251" t="s">
        <v>118</v>
      </c>
      <c r="O32" s="252" t="s">
        <v>339</v>
      </c>
      <c r="P32" s="254">
        <v>1300000000</v>
      </c>
      <c r="Q32" s="254">
        <v>0</v>
      </c>
      <c r="R32" s="254">
        <v>0</v>
      </c>
      <c r="S32" s="254">
        <v>1300000000</v>
      </c>
      <c r="T32" s="254">
        <v>0</v>
      </c>
      <c r="U32" s="254">
        <v>1300000000</v>
      </c>
      <c r="V32" s="254">
        <v>0</v>
      </c>
      <c r="W32" s="254">
        <v>1300000000</v>
      </c>
      <c r="X32" s="254">
        <v>232529074</v>
      </c>
      <c r="Y32" s="254">
        <v>232529074</v>
      </c>
      <c r="Z32" s="254">
        <v>232529074</v>
      </c>
      <c r="AA32" s="231"/>
    </row>
    <row r="33" spans="1:27" s="229" customFormat="1" ht="56.25">
      <c r="A33" s="251" t="s">
        <v>10</v>
      </c>
      <c r="B33" s="252" t="s">
        <v>393</v>
      </c>
      <c r="C33" s="253" t="s">
        <v>528</v>
      </c>
      <c r="D33" s="251" t="s">
        <v>16</v>
      </c>
      <c r="E33" s="251" t="s">
        <v>140</v>
      </c>
      <c r="F33" s="251" t="s">
        <v>132</v>
      </c>
      <c r="G33" s="251" t="s">
        <v>165</v>
      </c>
      <c r="H33" s="251" t="s">
        <v>84</v>
      </c>
      <c r="I33" s="251" t="s">
        <v>84</v>
      </c>
      <c r="J33" s="251" t="s">
        <v>84</v>
      </c>
      <c r="K33" s="251" t="s">
        <v>84</v>
      </c>
      <c r="L33" s="251" t="s">
        <v>116</v>
      </c>
      <c r="M33" s="251" t="s">
        <v>125</v>
      </c>
      <c r="N33" s="251" t="s">
        <v>118</v>
      </c>
      <c r="O33" s="252" t="s">
        <v>529</v>
      </c>
      <c r="P33" s="254">
        <v>10606292170</v>
      </c>
      <c r="Q33" s="254">
        <v>0</v>
      </c>
      <c r="R33" s="254">
        <v>0</v>
      </c>
      <c r="S33" s="254">
        <v>10606292170</v>
      </c>
      <c r="T33" s="254">
        <v>0</v>
      </c>
      <c r="U33" s="254">
        <v>10606292170</v>
      </c>
      <c r="V33" s="254">
        <v>0</v>
      </c>
      <c r="W33" s="254">
        <v>10606292170</v>
      </c>
      <c r="X33" s="254">
        <v>0</v>
      </c>
      <c r="Y33" s="254">
        <v>0</v>
      </c>
      <c r="Z33" s="254">
        <v>0</v>
      </c>
      <c r="AA33" s="231"/>
    </row>
    <row r="34" spans="1:27" s="229" customFormat="1" ht="45">
      <c r="A34" s="251" t="s">
        <v>10</v>
      </c>
      <c r="B34" s="252" t="s">
        <v>393</v>
      </c>
      <c r="C34" s="253" t="s">
        <v>286</v>
      </c>
      <c r="D34" s="251" t="s">
        <v>16</v>
      </c>
      <c r="E34" s="251" t="s">
        <v>148</v>
      </c>
      <c r="F34" s="251" t="s">
        <v>132</v>
      </c>
      <c r="G34" s="251" t="s">
        <v>122</v>
      </c>
      <c r="H34" s="251"/>
      <c r="I34" s="251"/>
      <c r="J34" s="251"/>
      <c r="K34" s="251"/>
      <c r="L34" s="251" t="s">
        <v>116</v>
      </c>
      <c r="M34" s="251" t="s">
        <v>125</v>
      </c>
      <c r="N34" s="251" t="s">
        <v>118</v>
      </c>
      <c r="O34" s="252" t="s">
        <v>340</v>
      </c>
      <c r="P34" s="254">
        <v>7600000000</v>
      </c>
      <c r="Q34" s="254">
        <v>0</v>
      </c>
      <c r="R34" s="254">
        <v>0</v>
      </c>
      <c r="S34" s="254">
        <v>7600000000</v>
      </c>
      <c r="T34" s="254">
        <v>0</v>
      </c>
      <c r="U34" s="254">
        <v>5489017972</v>
      </c>
      <c r="V34" s="254">
        <v>2110982028</v>
      </c>
      <c r="W34" s="254">
        <v>1440441546</v>
      </c>
      <c r="X34" s="254">
        <v>2753333</v>
      </c>
      <c r="Y34" s="254">
        <v>2753333</v>
      </c>
      <c r="Z34" s="254">
        <v>2753333</v>
      </c>
      <c r="AA34" s="231"/>
    </row>
    <row r="35" spans="1:27" s="229" customFormat="1" ht="45">
      <c r="A35" s="251" t="s">
        <v>10</v>
      </c>
      <c r="B35" s="252" t="s">
        <v>393</v>
      </c>
      <c r="C35" s="253" t="s">
        <v>149</v>
      </c>
      <c r="D35" s="251" t="s">
        <v>16</v>
      </c>
      <c r="E35" s="251" t="s">
        <v>150</v>
      </c>
      <c r="F35" s="251" t="s">
        <v>132</v>
      </c>
      <c r="G35" s="251" t="s">
        <v>123</v>
      </c>
      <c r="H35" s="251"/>
      <c r="I35" s="251"/>
      <c r="J35" s="251"/>
      <c r="K35" s="251"/>
      <c r="L35" s="251" t="s">
        <v>116</v>
      </c>
      <c r="M35" s="251" t="s">
        <v>125</v>
      </c>
      <c r="N35" s="251" t="s">
        <v>118</v>
      </c>
      <c r="O35" s="252" t="s">
        <v>151</v>
      </c>
      <c r="P35" s="254">
        <v>6000000000</v>
      </c>
      <c r="Q35" s="254">
        <v>0</v>
      </c>
      <c r="R35" s="254">
        <v>0</v>
      </c>
      <c r="S35" s="254">
        <v>6000000000</v>
      </c>
      <c r="T35" s="254">
        <v>0</v>
      </c>
      <c r="U35" s="254">
        <v>5800000000</v>
      </c>
      <c r="V35" s="254">
        <v>200000000</v>
      </c>
      <c r="W35" s="254">
        <v>2384518331</v>
      </c>
      <c r="X35" s="254">
        <v>2591666</v>
      </c>
      <c r="Y35" s="254">
        <v>2591666</v>
      </c>
      <c r="Z35" s="254">
        <v>2591666</v>
      </c>
      <c r="AA35" s="231"/>
    </row>
    <row r="36" spans="1:27" s="229" customFormat="1" ht="45">
      <c r="A36" s="251" t="s">
        <v>10</v>
      </c>
      <c r="B36" s="252" t="s">
        <v>393</v>
      </c>
      <c r="C36" s="253" t="s">
        <v>149</v>
      </c>
      <c r="D36" s="251" t="s">
        <v>16</v>
      </c>
      <c r="E36" s="251" t="s">
        <v>150</v>
      </c>
      <c r="F36" s="251" t="s">
        <v>132</v>
      </c>
      <c r="G36" s="251" t="s">
        <v>123</v>
      </c>
      <c r="H36" s="251"/>
      <c r="I36" s="251"/>
      <c r="J36" s="251"/>
      <c r="K36" s="251"/>
      <c r="L36" s="251" t="s">
        <v>116</v>
      </c>
      <c r="M36" s="251" t="s">
        <v>167</v>
      </c>
      <c r="N36" s="251" t="s">
        <v>118</v>
      </c>
      <c r="O36" s="252" t="s">
        <v>151</v>
      </c>
      <c r="P36" s="254">
        <v>5000000000</v>
      </c>
      <c r="Q36" s="254">
        <v>0</v>
      </c>
      <c r="R36" s="254">
        <v>0</v>
      </c>
      <c r="S36" s="254">
        <v>5000000000</v>
      </c>
      <c r="T36" s="254">
        <v>0</v>
      </c>
      <c r="U36" s="254">
        <v>2110000000</v>
      </c>
      <c r="V36" s="254">
        <v>2890000000</v>
      </c>
      <c r="W36" s="254">
        <v>1940741</v>
      </c>
      <c r="X36" s="254">
        <v>29300</v>
      </c>
      <c r="Y36" s="254">
        <v>29300</v>
      </c>
      <c r="Z36" s="254">
        <v>29300</v>
      </c>
      <c r="AA36" s="231"/>
    </row>
    <row r="37" spans="1:27" s="229" customFormat="1" ht="67.5">
      <c r="A37" s="251" t="s">
        <v>10</v>
      </c>
      <c r="B37" s="252" t="s">
        <v>393</v>
      </c>
      <c r="C37" s="253" t="s">
        <v>152</v>
      </c>
      <c r="D37" s="251" t="s">
        <v>16</v>
      </c>
      <c r="E37" s="251" t="s">
        <v>153</v>
      </c>
      <c r="F37" s="251" t="s">
        <v>132</v>
      </c>
      <c r="G37" s="251" t="s">
        <v>122</v>
      </c>
      <c r="H37" s="251"/>
      <c r="I37" s="251"/>
      <c r="J37" s="251"/>
      <c r="K37" s="251"/>
      <c r="L37" s="251" t="s">
        <v>116</v>
      </c>
      <c r="M37" s="251" t="s">
        <v>125</v>
      </c>
      <c r="N37" s="251" t="s">
        <v>118</v>
      </c>
      <c r="O37" s="252" t="s">
        <v>154</v>
      </c>
      <c r="P37" s="254">
        <v>3113000000</v>
      </c>
      <c r="Q37" s="254">
        <v>0</v>
      </c>
      <c r="R37" s="254">
        <v>0</v>
      </c>
      <c r="S37" s="254">
        <v>3113000000</v>
      </c>
      <c r="T37" s="254">
        <v>0</v>
      </c>
      <c r="U37" s="254">
        <v>2663000000</v>
      </c>
      <c r="V37" s="254">
        <v>450000000</v>
      </c>
      <c r="W37" s="254">
        <v>617727076</v>
      </c>
      <c r="X37" s="254">
        <v>0</v>
      </c>
      <c r="Y37" s="254">
        <v>0</v>
      </c>
      <c r="Z37" s="254">
        <v>0</v>
      </c>
      <c r="AA37" s="231"/>
    </row>
    <row r="38" spans="1:27" s="229" customFormat="1" ht="67.5">
      <c r="A38" s="251" t="s">
        <v>10</v>
      </c>
      <c r="B38" s="252" t="s">
        <v>393</v>
      </c>
      <c r="C38" s="253" t="s">
        <v>152</v>
      </c>
      <c r="D38" s="251" t="s">
        <v>16</v>
      </c>
      <c r="E38" s="251" t="s">
        <v>153</v>
      </c>
      <c r="F38" s="251" t="s">
        <v>132</v>
      </c>
      <c r="G38" s="251" t="s">
        <v>122</v>
      </c>
      <c r="H38" s="251"/>
      <c r="I38" s="251"/>
      <c r="J38" s="251"/>
      <c r="K38" s="251"/>
      <c r="L38" s="251" t="s">
        <v>116</v>
      </c>
      <c r="M38" s="251" t="s">
        <v>167</v>
      </c>
      <c r="N38" s="251" t="s">
        <v>118</v>
      </c>
      <c r="O38" s="252" t="s">
        <v>154</v>
      </c>
      <c r="P38" s="254">
        <v>3887000000</v>
      </c>
      <c r="Q38" s="254">
        <v>0</v>
      </c>
      <c r="R38" s="254">
        <v>0</v>
      </c>
      <c r="S38" s="254">
        <v>3887000000</v>
      </c>
      <c r="T38" s="254">
        <v>0</v>
      </c>
      <c r="U38" s="254">
        <v>0</v>
      </c>
      <c r="V38" s="254">
        <v>3887000000</v>
      </c>
      <c r="W38" s="254">
        <v>0</v>
      </c>
      <c r="X38" s="254">
        <v>0</v>
      </c>
      <c r="Y38" s="254">
        <v>0</v>
      </c>
      <c r="Z38" s="254">
        <v>0</v>
      </c>
      <c r="AA38" s="231"/>
    </row>
    <row r="39" spans="1:27" s="229" customFormat="1" ht="67.5">
      <c r="A39" s="251" t="s">
        <v>10</v>
      </c>
      <c r="B39" s="252" t="s">
        <v>393</v>
      </c>
      <c r="C39" s="253" t="s">
        <v>429</v>
      </c>
      <c r="D39" s="251" t="s">
        <v>16</v>
      </c>
      <c r="E39" s="251" t="s">
        <v>155</v>
      </c>
      <c r="F39" s="251" t="s">
        <v>132</v>
      </c>
      <c r="G39" s="251" t="s">
        <v>123</v>
      </c>
      <c r="H39" s="251"/>
      <c r="I39" s="251"/>
      <c r="J39" s="251"/>
      <c r="K39" s="251"/>
      <c r="L39" s="251" t="s">
        <v>116</v>
      </c>
      <c r="M39" s="251" t="s">
        <v>125</v>
      </c>
      <c r="N39" s="251" t="s">
        <v>118</v>
      </c>
      <c r="O39" s="252" t="s">
        <v>438</v>
      </c>
      <c r="P39" s="254">
        <v>19000000000</v>
      </c>
      <c r="Q39" s="254">
        <v>0</v>
      </c>
      <c r="R39" s="254">
        <v>0</v>
      </c>
      <c r="S39" s="254">
        <v>19000000000</v>
      </c>
      <c r="T39" s="254">
        <v>0</v>
      </c>
      <c r="U39" s="254">
        <v>8095419440</v>
      </c>
      <c r="V39" s="254">
        <v>10904580560</v>
      </c>
      <c r="W39" s="254">
        <v>1299281085</v>
      </c>
      <c r="X39" s="254">
        <v>0</v>
      </c>
      <c r="Y39" s="254">
        <v>0</v>
      </c>
      <c r="Z39" s="254">
        <v>0</v>
      </c>
      <c r="AA39" s="231"/>
    </row>
    <row r="40" spans="1:27" s="229" customFormat="1" ht="56.25">
      <c r="A40" s="251" t="s">
        <v>10</v>
      </c>
      <c r="B40" s="252" t="s">
        <v>393</v>
      </c>
      <c r="C40" s="253" t="s">
        <v>159</v>
      </c>
      <c r="D40" s="251" t="s">
        <v>16</v>
      </c>
      <c r="E40" s="251" t="s">
        <v>157</v>
      </c>
      <c r="F40" s="251" t="s">
        <v>132</v>
      </c>
      <c r="G40" s="251" t="s">
        <v>121</v>
      </c>
      <c r="H40" s="251"/>
      <c r="I40" s="251"/>
      <c r="J40" s="251"/>
      <c r="K40" s="251"/>
      <c r="L40" s="251" t="s">
        <v>116</v>
      </c>
      <c r="M40" s="251" t="s">
        <v>125</v>
      </c>
      <c r="N40" s="251" t="s">
        <v>118</v>
      </c>
      <c r="O40" s="252" t="s">
        <v>160</v>
      </c>
      <c r="P40" s="254">
        <v>2000000000</v>
      </c>
      <c r="Q40" s="254">
        <v>0</v>
      </c>
      <c r="R40" s="254">
        <v>0</v>
      </c>
      <c r="S40" s="254">
        <v>2000000000</v>
      </c>
      <c r="T40" s="254">
        <v>0</v>
      </c>
      <c r="U40" s="254">
        <v>2000000000</v>
      </c>
      <c r="V40" s="254">
        <v>0</v>
      </c>
      <c r="W40" s="254">
        <v>1575347449</v>
      </c>
      <c r="X40" s="254">
        <v>0</v>
      </c>
      <c r="Y40" s="254">
        <v>0</v>
      </c>
      <c r="Z40" s="254">
        <v>0</v>
      </c>
      <c r="AA40" s="231"/>
    </row>
    <row r="41" spans="1:27" s="229" customFormat="1" ht="56.25">
      <c r="A41" s="251" t="s">
        <v>10</v>
      </c>
      <c r="B41" s="252" t="s">
        <v>393</v>
      </c>
      <c r="C41" s="253" t="s">
        <v>161</v>
      </c>
      <c r="D41" s="251" t="s">
        <v>16</v>
      </c>
      <c r="E41" s="251" t="s">
        <v>157</v>
      </c>
      <c r="F41" s="251" t="s">
        <v>132</v>
      </c>
      <c r="G41" s="251" t="s">
        <v>117</v>
      </c>
      <c r="H41" s="251"/>
      <c r="I41" s="251"/>
      <c r="J41" s="251"/>
      <c r="K41" s="251"/>
      <c r="L41" s="251" t="s">
        <v>116</v>
      </c>
      <c r="M41" s="251" t="s">
        <v>125</v>
      </c>
      <c r="N41" s="251" t="s">
        <v>118</v>
      </c>
      <c r="O41" s="252" t="s">
        <v>162</v>
      </c>
      <c r="P41" s="254">
        <v>2400000000</v>
      </c>
      <c r="Q41" s="254">
        <v>0</v>
      </c>
      <c r="R41" s="254">
        <v>0</v>
      </c>
      <c r="S41" s="254">
        <v>2400000000</v>
      </c>
      <c r="T41" s="254">
        <v>0</v>
      </c>
      <c r="U41" s="254">
        <v>2400000000</v>
      </c>
      <c r="V41" s="254">
        <v>0</v>
      </c>
      <c r="W41" s="254">
        <v>2400000000</v>
      </c>
      <c r="X41" s="254">
        <v>485000000</v>
      </c>
      <c r="Y41" s="254">
        <v>485000000</v>
      </c>
      <c r="Z41" s="254">
        <v>485000000</v>
      </c>
      <c r="AA41" s="231"/>
    </row>
    <row r="42" spans="1:27" s="229" customFormat="1" ht="101.25">
      <c r="A42" s="251" t="s">
        <v>10</v>
      </c>
      <c r="B42" s="252" t="s">
        <v>393</v>
      </c>
      <c r="C42" s="253" t="s">
        <v>163</v>
      </c>
      <c r="D42" s="251" t="s">
        <v>16</v>
      </c>
      <c r="E42" s="251" t="s">
        <v>157</v>
      </c>
      <c r="F42" s="251" t="s">
        <v>132</v>
      </c>
      <c r="G42" s="251" t="s">
        <v>125</v>
      </c>
      <c r="H42" s="251"/>
      <c r="I42" s="251"/>
      <c r="J42" s="251"/>
      <c r="K42" s="251"/>
      <c r="L42" s="251" t="s">
        <v>116</v>
      </c>
      <c r="M42" s="251" t="s">
        <v>125</v>
      </c>
      <c r="N42" s="251" t="s">
        <v>118</v>
      </c>
      <c r="O42" s="252" t="s">
        <v>164</v>
      </c>
      <c r="P42" s="254">
        <v>1200000000</v>
      </c>
      <c r="Q42" s="254">
        <v>0</v>
      </c>
      <c r="R42" s="254">
        <v>0</v>
      </c>
      <c r="S42" s="254">
        <v>1200000000</v>
      </c>
      <c r="T42" s="254">
        <v>0</v>
      </c>
      <c r="U42" s="254">
        <v>1200000000</v>
      </c>
      <c r="V42" s="254">
        <v>0</v>
      </c>
      <c r="W42" s="254">
        <v>1200000000</v>
      </c>
      <c r="X42" s="254">
        <v>600000000</v>
      </c>
      <c r="Y42" s="254">
        <v>600000000</v>
      </c>
      <c r="Z42" s="254">
        <v>600000000</v>
      </c>
      <c r="AA42" s="231"/>
    </row>
    <row r="43" spans="1:27" s="229" customFormat="1" ht="112.5">
      <c r="A43" s="251" t="s">
        <v>10</v>
      </c>
      <c r="B43" s="252" t="s">
        <v>393</v>
      </c>
      <c r="C43" s="253" t="s">
        <v>166</v>
      </c>
      <c r="D43" s="251" t="s">
        <v>16</v>
      </c>
      <c r="E43" s="251" t="s">
        <v>157</v>
      </c>
      <c r="F43" s="251" t="s">
        <v>132</v>
      </c>
      <c r="G43" s="251" t="s">
        <v>167</v>
      </c>
      <c r="H43" s="251"/>
      <c r="I43" s="251"/>
      <c r="J43" s="251"/>
      <c r="K43" s="251"/>
      <c r="L43" s="251" t="s">
        <v>116</v>
      </c>
      <c r="M43" s="251" t="s">
        <v>125</v>
      </c>
      <c r="N43" s="251" t="s">
        <v>118</v>
      </c>
      <c r="O43" s="252" t="s">
        <v>168</v>
      </c>
      <c r="P43" s="254">
        <v>1500000000</v>
      </c>
      <c r="Q43" s="254">
        <v>0</v>
      </c>
      <c r="R43" s="254">
        <v>0</v>
      </c>
      <c r="S43" s="254">
        <v>1500000000</v>
      </c>
      <c r="T43" s="254">
        <v>0</v>
      </c>
      <c r="U43" s="254">
        <v>1500000000</v>
      </c>
      <c r="V43" s="254">
        <v>0</v>
      </c>
      <c r="W43" s="254">
        <v>1500000000</v>
      </c>
      <c r="X43" s="254">
        <v>610000000</v>
      </c>
      <c r="Y43" s="254">
        <v>610000000</v>
      </c>
      <c r="Z43" s="254">
        <v>610000000</v>
      </c>
      <c r="AA43" s="231"/>
    </row>
    <row r="44" spans="1:27" s="229" customFormat="1" ht="67.5">
      <c r="A44" s="251" t="s">
        <v>10</v>
      </c>
      <c r="B44" s="252" t="s">
        <v>393</v>
      </c>
      <c r="C44" s="253" t="s">
        <v>304</v>
      </c>
      <c r="D44" s="251" t="s">
        <v>16</v>
      </c>
      <c r="E44" s="251" t="s">
        <v>157</v>
      </c>
      <c r="F44" s="251" t="s">
        <v>132</v>
      </c>
      <c r="G44" s="251" t="s">
        <v>341</v>
      </c>
      <c r="H44" s="251"/>
      <c r="I44" s="251"/>
      <c r="J44" s="251"/>
      <c r="K44" s="251"/>
      <c r="L44" s="251" t="s">
        <v>116</v>
      </c>
      <c r="M44" s="251" t="s">
        <v>125</v>
      </c>
      <c r="N44" s="251" t="s">
        <v>118</v>
      </c>
      <c r="O44" s="252" t="s">
        <v>342</v>
      </c>
      <c r="P44" s="254">
        <v>12000000000</v>
      </c>
      <c r="Q44" s="254">
        <v>0</v>
      </c>
      <c r="R44" s="254">
        <v>0</v>
      </c>
      <c r="S44" s="254">
        <v>12000000000</v>
      </c>
      <c r="T44" s="254">
        <v>0</v>
      </c>
      <c r="U44" s="254">
        <v>9576380921</v>
      </c>
      <c r="V44" s="254">
        <v>2423619079</v>
      </c>
      <c r="W44" s="254">
        <v>5303118585</v>
      </c>
      <c r="X44" s="254">
        <v>50087665</v>
      </c>
      <c r="Y44" s="254">
        <v>50087665</v>
      </c>
      <c r="Z44" s="254">
        <v>32363333</v>
      </c>
      <c r="AA44" s="231"/>
    </row>
    <row r="45" spans="1:27" s="229" customFormat="1" ht="67.5">
      <c r="A45" s="251" t="s">
        <v>10</v>
      </c>
      <c r="B45" s="252" t="s">
        <v>393</v>
      </c>
      <c r="C45" s="253" t="s">
        <v>303</v>
      </c>
      <c r="D45" s="251" t="s">
        <v>16</v>
      </c>
      <c r="E45" s="251" t="s">
        <v>157</v>
      </c>
      <c r="F45" s="251" t="s">
        <v>132</v>
      </c>
      <c r="G45" s="251" t="s">
        <v>135</v>
      </c>
      <c r="H45" s="251"/>
      <c r="I45" s="251"/>
      <c r="J45" s="251"/>
      <c r="K45" s="251"/>
      <c r="L45" s="251" t="s">
        <v>116</v>
      </c>
      <c r="M45" s="251" t="s">
        <v>125</v>
      </c>
      <c r="N45" s="251" t="s">
        <v>118</v>
      </c>
      <c r="O45" s="252" t="s">
        <v>343</v>
      </c>
      <c r="P45" s="254">
        <v>5500000000</v>
      </c>
      <c r="Q45" s="254">
        <v>0</v>
      </c>
      <c r="R45" s="254">
        <v>0</v>
      </c>
      <c r="S45" s="254">
        <v>5500000000</v>
      </c>
      <c r="T45" s="254">
        <v>0</v>
      </c>
      <c r="U45" s="254">
        <v>3051234860</v>
      </c>
      <c r="V45" s="254">
        <v>2448765140</v>
      </c>
      <c r="W45" s="254">
        <v>1666935330</v>
      </c>
      <c r="X45" s="254">
        <v>10750000</v>
      </c>
      <c r="Y45" s="254">
        <v>10750000</v>
      </c>
      <c r="Z45" s="254">
        <v>9450000</v>
      </c>
      <c r="AA45" s="231"/>
    </row>
    <row r="46" spans="1:27" s="229" customFormat="1" ht="67.5">
      <c r="A46" s="251" t="s">
        <v>10</v>
      </c>
      <c r="B46" s="252" t="s">
        <v>393</v>
      </c>
      <c r="C46" s="253" t="s">
        <v>302</v>
      </c>
      <c r="D46" s="251" t="s">
        <v>16</v>
      </c>
      <c r="E46" s="251" t="s">
        <v>157</v>
      </c>
      <c r="F46" s="251" t="s">
        <v>132</v>
      </c>
      <c r="G46" s="251" t="s">
        <v>127</v>
      </c>
      <c r="H46" s="251"/>
      <c r="I46" s="251"/>
      <c r="J46" s="251"/>
      <c r="K46" s="251"/>
      <c r="L46" s="251" t="s">
        <v>116</v>
      </c>
      <c r="M46" s="251" t="s">
        <v>125</v>
      </c>
      <c r="N46" s="251" t="s">
        <v>118</v>
      </c>
      <c r="O46" s="252" t="s">
        <v>344</v>
      </c>
      <c r="P46" s="254">
        <v>9000000000</v>
      </c>
      <c r="Q46" s="254">
        <v>0</v>
      </c>
      <c r="R46" s="254">
        <v>0</v>
      </c>
      <c r="S46" s="254">
        <v>9000000000</v>
      </c>
      <c r="T46" s="254">
        <v>0</v>
      </c>
      <c r="U46" s="254">
        <v>8700000000</v>
      </c>
      <c r="V46" s="254">
        <v>300000000</v>
      </c>
      <c r="W46" s="254">
        <v>950269443</v>
      </c>
      <c r="X46" s="254">
        <v>12810936</v>
      </c>
      <c r="Y46" s="254">
        <v>12810936</v>
      </c>
      <c r="Z46" s="254">
        <v>9137603</v>
      </c>
      <c r="AA46" s="231"/>
    </row>
    <row r="47" spans="1:27" s="229" customFormat="1" ht="67.5">
      <c r="A47" s="251" t="s">
        <v>10</v>
      </c>
      <c r="B47" s="252" t="s">
        <v>393</v>
      </c>
      <c r="C47" s="253" t="s">
        <v>301</v>
      </c>
      <c r="D47" s="251" t="s">
        <v>16</v>
      </c>
      <c r="E47" s="251" t="s">
        <v>157</v>
      </c>
      <c r="F47" s="251" t="s">
        <v>132</v>
      </c>
      <c r="G47" s="251" t="s">
        <v>345</v>
      </c>
      <c r="H47" s="251"/>
      <c r="I47" s="251"/>
      <c r="J47" s="251"/>
      <c r="K47" s="251"/>
      <c r="L47" s="251" t="s">
        <v>116</v>
      </c>
      <c r="M47" s="251" t="s">
        <v>125</v>
      </c>
      <c r="N47" s="251" t="s">
        <v>118</v>
      </c>
      <c r="O47" s="252" t="s">
        <v>346</v>
      </c>
      <c r="P47" s="254">
        <v>3000000000</v>
      </c>
      <c r="Q47" s="254">
        <v>0</v>
      </c>
      <c r="R47" s="254">
        <v>0</v>
      </c>
      <c r="S47" s="254">
        <v>3000000000</v>
      </c>
      <c r="T47" s="254">
        <v>0</v>
      </c>
      <c r="U47" s="254">
        <v>3000000000</v>
      </c>
      <c r="V47" s="254">
        <v>0</v>
      </c>
      <c r="W47" s="254">
        <v>1209354162</v>
      </c>
      <c r="X47" s="254">
        <v>13919500.33</v>
      </c>
      <c r="Y47" s="254">
        <v>13919500.33</v>
      </c>
      <c r="Z47" s="254">
        <v>10467766.33</v>
      </c>
      <c r="AA47" s="231"/>
    </row>
    <row r="48" spans="1:27" s="229" customFormat="1" ht="78.75">
      <c r="A48" s="251" t="s">
        <v>10</v>
      </c>
      <c r="B48" s="252" t="s">
        <v>393</v>
      </c>
      <c r="C48" s="253" t="s">
        <v>530</v>
      </c>
      <c r="D48" s="251" t="s">
        <v>16</v>
      </c>
      <c r="E48" s="251" t="s">
        <v>157</v>
      </c>
      <c r="F48" s="251" t="s">
        <v>132</v>
      </c>
      <c r="G48" s="251" t="s">
        <v>523</v>
      </c>
      <c r="H48" s="251" t="s">
        <v>84</v>
      </c>
      <c r="I48" s="251" t="s">
        <v>84</v>
      </c>
      <c r="J48" s="251" t="s">
        <v>84</v>
      </c>
      <c r="K48" s="251" t="s">
        <v>84</v>
      </c>
      <c r="L48" s="251" t="s">
        <v>116</v>
      </c>
      <c r="M48" s="251" t="s">
        <v>125</v>
      </c>
      <c r="N48" s="251" t="s">
        <v>118</v>
      </c>
      <c r="O48" s="252" t="s">
        <v>531</v>
      </c>
      <c r="P48" s="254">
        <v>2393707830</v>
      </c>
      <c r="Q48" s="254">
        <v>0</v>
      </c>
      <c r="R48" s="254">
        <v>0</v>
      </c>
      <c r="S48" s="254">
        <v>2393707830</v>
      </c>
      <c r="T48" s="254">
        <v>0</v>
      </c>
      <c r="U48" s="254">
        <v>2393707830</v>
      </c>
      <c r="V48" s="254">
        <v>0</v>
      </c>
      <c r="W48" s="254">
        <v>2393707830</v>
      </c>
      <c r="X48" s="254">
        <v>0</v>
      </c>
      <c r="Y48" s="254">
        <v>0</v>
      </c>
      <c r="Z48" s="254">
        <v>0</v>
      </c>
      <c r="AA48" s="231"/>
    </row>
    <row r="49" spans="1:27" s="229" customFormat="1" ht="22.5">
      <c r="A49" s="251" t="s">
        <v>12</v>
      </c>
      <c r="B49" s="252" t="s">
        <v>169</v>
      </c>
      <c r="C49" s="253" t="s">
        <v>306</v>
      </c>
      <c r="D49" s="251" t="s">
        <v>11</v>
      </c>
      <c r="E49" s="251" t="s">
        <v>307</v>
      </c>
      <c r="F49" s="251" t="s">
        <v>307</v>
      </c>
      <c r="G49" s="251" t="s">
        <v>307</v>
      </c>
      <c r="H49" s="251"/>
      <c r="I49" s="251"/>
      <c r="J49" s="251"/>
      <c r="K49" s="251"/>
      <c r="L49" s="251" t="s">
        <v>116</v>
      </c>
      <c r="M49" s="251" t="s">
        <v>117</v>
      </c>
      <c r="N49" s="251" t="s">
        <v>118</v>
      </c>
      <c r="O49" s="252" t="s">
        <v>308</v>
      </c>
      <c r="P49" s="254">
        <v>31639000000</v>
      </c>
      <c r="Q49" s="254">
        <v>0</v>
      </c>
      <c r="R49" s="254">
        <v>0</v>
      </c>
      <c r="S49" s="254">
        <v>31639000000</v>
      </c>
      <c r="T49" s="254">
        <v>0</v>
      </c>
      <c r="U49" s="254">
        <v>31639000000</v>
      </c>
      <c r="V49" s="254">
        <v>0</v>
      </c>
      <c r="W49" s="254">
        <v>1740631462</v>
      </c>
      <c r="X49" s="254">
        <v>1740631462</v>
      </c>
      <c r="Y49" s="254">
        <v>1740631462</v>
      </c>
      <c r="Z49" s="254">
        <v>1740631462</v>
      </c>
      <c r="AA49" s="231"/>
    </row>
    <row r="50" spans="1:27" s="229" customFormat="1" ht="22.5">
      <c r="A50" s="251" t="s">
        <v>12</v>
      </c>
      <c r="B50" s="252" t="s">
        <v>169</v>
      </c>
      <c r="C50" s="253" t="s">
        <v>309</v>
      </c>
      <c r="D50" s="251" t="s">
        <v>11</v>
      </c>
      <c r="E50" s="251" t="s">
        <v>307</v>
      </c>
      <c r="F50" s="251" t="s">
        <v>307</v>
      </c>
      <c r="G50" s="251" t="s">
        <v>310</v>
      </c>
      <c r="H50" s="251"/>
      <c r="I50" s="251"/>
      <c r="J50" s="251"/>
      <c r="K50" s="251"/>
      <c r="L50" s="251" t="s">
        <v>116</v>
      </c>
      <c r="M50" s="251" t="s">
        <v>117</v>
      </c>
      <c r="N50" s="251" t="s">
        <v>118</v>
      </c>
      <c r="O50" s="252" t="s">
        <v>311</v>
      </c>
      <c r="P50" s="254">
        <v>11802000000</v>
      </c>
      <c r="Q50" s="254">
        <v>0</v>
      </c>
      <c r="R50" s="254">
        <v>0</v>
      </c>
      <c r="S50" s="254">
        <v>11802000000</v>
      </c>
      <c r="T50" s="254">
        <v>0</v>
      </c>
      <c r="U50" s="254">
        <v>11802000000</v>
      </c>
      <c r="V50" s="254">
        <v>0</v>
      </c>
      <c r="W50" s="254">
        <v>575059314</v>
      </c>
      <c r="X50" s="254">
        <v>575059314</v>
      </c>
      <c r="Y50" s="254">
        <v>575059314</v>
      </c>
      <c r="Z50" s="254">
        <v>575059314</v>
      </c>
      <c r="AA50" s="231"/>
    </row>
    <row r="51" spans="1:27" s="229" customFormat="1" ht="33.75">
      <c r="A51" s="251" t="s">
        <v>12</v>
      </c>
      <c r="B51" s="252" t="s">
        <v>169</v>
      </c>
      <c r="C51" s="253" t="s">
        <v>312</v>
      </c>
      <c r="D51" s="251" t="s">
        <v>11</v>
      </c>
      <c r="E51" s="251" t="s">
        <v>307</v>
      </c>
      <c r="F51" s="251" t="s">
        <v>307</v>
      </c>
      <c r="G51" s="251" t="s">
        <v>313</v>
      </c>
      <c r="H51" s="251"/>
      <c r="I51" s="251"/>
      <c r="J51" s="251"/>
      <c r="K51" s="251"/>
      <c r="L51" s="251" t="s">
        <v>116</v>
      </c>
      <c r="M51" s="251" t="s">
        <v>117</v>
      </c>
      <c r="N51" s="251" t="s">
        <v>118</v>
      </c>
      <c r="O51" s="252" t="s">
        <v>314</v>
      </c>
      <c r="P51" s="254">
        <v>2219000000</v>
      </c>
      <c r="Q51" s="254">
        <v>0</v>
      </c>
      <c r="R51" s="254">
        <v>0</v>
      </c>
      <c r="S51" s="254">
        <v>2219000000</v>
      </c>
      <c r="T51" s="254">
        <v>0</v>
      </c>
      <c r="U51" s="254">
        <v>2218900100</v>
      </c>
      <c r="V51" s="254">
        <v>99900</v>
      </c>
      <c r="W51" s="254">
        <v>73064315</v>
      </c>
      <c r="X51" s="254">
        <v>73064315</v>
      </c>
      <c r="Y51" s="254">
        <v>73064315</v>
      </c>
      <c r="Z51" s="254">
        <v>73064315</v>
      </c>
      <c r="AA51" s="231"/>
    </row>
    <row r="52" spans="1:27" s="229" customFormat="1" ht="22.5">
      <c r="A52" s="251" t="s">
        <v>12</v>
      </c>
      <c r="B52" s="252" t="s">
        <v>169</v>
      </c>
      <c r="C52" s="253" t="s">
        <v>432</v>
      </c>
      <c r="D52" s="251" t="s">
        <v>11</v>
      </c>
      <c r="E52" s="251" t="s">
        <v>310</v>
      </c>
      <c r="F52" s="251"/>
      <c r="G52" s="251"/>
      <c r="H52" s="251"/>
      <c r="I52" s="251"/>
      <c r="J52" s="251"/>
      <c r="K52" s="251"/>
      <c r="L52" s="251" t="s">
        <v>116</v>
      </c>
      <c r="M52" s="251" t="s">
        <v>117</v>
      </c>
      <c r="N52" s="251" t="s">
        <v>118</v>
      </c>
      <c r="O52" s="252" t="s">
        <v>433</v>
      </c>
      <c r="P52" s="254">
        <v>9535000000</v>
      </c>
      <c r="Q52" s="254">
        <v>0</v>
      </c>
      <c r="R52" s="254">
        <v>0</v>
      </c>
      <c r="S52" s="254">
        <v>9535000000</v>
      </c>
      <c r="T52" s="254">
        <v>0</v>
      </c>
      <c r="U52" s="254">
        <v>7424439403.9200001</v>
      </c>
      <c r="V52" s="254">
        <v>2110560596.0799999</v>
      </c>
      <c r="W52" s="254">
        <v>6901594443.5</v>
      </c>
      <c r="X52" s="254">
        <v>371954857.82999998</v>
      </c>
      <c r="Y52" s="254">
        <v>366542360.82999998</v>
      </c>
      <c r="Z52" s="254">
        <v>341185473.76999998</v>
      </c>
      <c r="AA52" s="231"/>
    </row>
    <row r="53" spans="1:27" s="229" customFormat="1" ht="45">
      <c r="A53" s="251" t="s">
        <v>12</v>
      </c>
      <c r="B53" s="252" t="s">
        <v>169</v>
      </c>
      <c r="C53" s="253" t="s">
        <v>316</v>
      </c>
      <c r="D53" s="251" t="s">
        <v>11</v>
      </c>
      <c r="E53" s="251" t="s">
        <v>313</v>
      </c>
      <c r="F53" s="251" t="s">
        <v>313</v>
      </c>
      <c r="G53" s="251" t="s">
        <v>307</v>
      </c>
      <c r="H53" s="251" t="s">
        <v>317</v>
      </c>
      <c r="I53" s="251"/>
      <c r="J53" s="251"/>
      <c r="K53" s="251"/>
      <c r="L53" s="251" t="s">
        <v>116</v>
      </c>
      <c r="M53" s="251" t="s">
        <v>117</v>
      </c>
      <c r="N53" s="251" t="s">
        <v>118</v>
      </c>
      <c r="O53" s="252" t="s">
        <v>124</v>
      </c>
      <c r="P53" s="254">
        <v>942000000</v>
      </c>
      <c r="Q53" s="254">
        <v>0</v>
      </c>
      <c r="R53" s="254">
        <v>0</v>
      </c>
      <c r="S53" s="254">
        <v>942000000</v>
      </c>
      <c r="T53" s="254">
        <v>0</v>
      </c>
      <c r="U53" s="254">
        <v>0</v>
      </c>
      <c r="V53" s="254">
        <v>942000000</v>
      </c>
      <c r="W53" s="254">
        <v>0</v>
      </c>
      <c r="X53" s="254">
        <v>0</v>
      </c>
      <c r="Y53" s="254">
        <v>0</v>
      </c>
      <c r="Z53" s="254">
        <v>0</v>
      </c>
      <c r="AA53" s="231"/>
    </row>
    <row r="54" spans="1:27" s="229" customFormat="1" ht="33.75">
      <c r="A54" s="251" t="s">
        <v>12</v>
      </c>
      <c r="B54" s="252" t="s">
        <v>169</v>
      </c>
      <c r="C54" s="253" t="s">
        <v>330</v>
      </c>
      <c r="D54" s="251" t="s">
        <v>11</v>
      </c>
      <c r="E54" s="251" t="s">
        <v>313</v>
      </c>
      <c r="F54" s="251" t="s">
        <v>318</v>
      </c>
      <c r="G54" s="251" t="s">
        <v>310</v>
      </c>
      <c r="H54" s="251" t="s">
        <v>331</v>
      </c>
      <c r="I54" s="251"/>
      <c r="J54" s="251"/>
      <c r="K54" s="251"/>
      <c r="L54" s="251" t="s">
        <v>116</v>
      </c>
      <c r="M54" s="251" t="s">
        <v>117</v>
      </c>
      <c r="N54" s="251" t="s">
        <v>118</v>
      </c>
      <c r="O54" s="252" t="s">
        <v>352</v>
      </c>
      <c r="P54" s="254">
        <v>103000000</v>
      </c>
      <c r="Q54" s="254">
        <v>0</v>
      </c>
      <c r="R54" s="254">
        <v>0</v>
      </c>
      <c r="S54" s="254">
        <v>103000000</v>
      </c>
      <c r="T54" s="254">
        <v>0</v>
      </c>
      <c r="U54" s="254">
        <v>103000000</v>
      </c>
      <c r="V54" s="254">
        <v>0</v>
      </c>
      <c r="W54" s="254">
        <v>10407401</v>
      </c>
      <c r="X54" s="254">
        <v>10407401</v>
      </c>
      <c r="Y54" s="254">
        <v>10407401</v>
      </c>
      <c r="Z54" s="254">
        <v>10407401</v>
      </c>
      <c r="AA54" s="231"/>
    </row>
    <row r="55" spans="1:27" s="229" customFormat="1" ht="22.5">
      <c r="A55" s="251" t="s">
        <v>12</v>
      </c>
      <c r="B55" s="252" t="s">
        <v>169</v>
      </c>
      <c r="C55" s="253" t="s">
        <v>434</v>
      </c>
      <c r="D55" s="251" t="s">
        <v>11</v>
      </c>
      <c r="E55" s="251" t="s">
        <v>313</v>
      </c>
      <c r="F55" s="251" t="s">
        <v>117</v>
      </c>
      <c r="G55" s="251"/>
      <c r="H55" s="251"/>
      <c r="I55" s="251"/>
      <c r="J55" s="251"/>
      <c r="K55" s="251"/>
      <c r="L55" s="251" t="s">
        <v>116</v>
      </c>
      <c r="M55" s="251" t="s">
        <v>117</v>
      </c>
      <c r="N55" s="251" t="s">
        <v>118</v>
      </c>
      <c r="O55" s="252" t="s">
        <v>435</v>
      </c>
      <c r="P55" s="254">
        <v>101000000</v>
      </c>
      <c r="Q55" s="254">
        <v>0</v>
      </c>
      <c r="R55" s="254">
        <v>0</v>
      </c>
      <c r="S55" s="254">
        <v>101000000</v>
      </c>
      <c r="T55" s="254">
        <v>0</v>
      </c>
      <c r="U55" s="254">
        <v>0</v>
      </c>
      <c r="V55" s="254">
        <v>101000000</v>
      </c>
      <c r="W55" s="254">
        <v>0</v>
      </c>
      <c r="X55" s="254">
        <v>0</v>
      </c>
      <c r="Y55" s="254">
        <v>0</v>
      </c>
      <c r="Z55" s="254">
        <v>0</v>
      </c>
      <c r="AA55" s="231"/>
    </row>
    <row r="56" spans="1:27" s="229" customFormat="1" ht="22.5">
      <c r="A56" s="251" t="s">
        <v>12</v>
      </c>
      <c r="B56" s="252" t="s">
        <v>169</v>
      </c>
      <c r="C56" s="253" t="s">
        <v>298</v>
      </c>
      <c r="D56" s="251" t="s">
        <v>11</v>
      </c>
      <c r="E56" s="251" t="s">
        <v>332</v>
      </c>
      <c r="F56" s="251" t="s">
        <v>307</v>
      </c>
      <c r="G56" s="251"/>
      <c r="H56" s="251"/>
      <c r="I56" s="251"/>
      <c r="J56" s="251"/>
      <c r="K56" s="251"/>
      <c r="L56" s="251" t="s">
        <v>116</v>
      </c>
      <c r="M56" s="251" t="s">
        <v>117</v>
      </c>
      <c r="N56" s="251" t="s">
        <v>118</v>
      </c>
      <c r="O56" s="252" t="s">
        <v>333</v>
      </c>
      <c r="P56" s="254">
        <v>173000000</v>
      </c>
      <c r="Q56" s="254">
        <v>0</v>
      </c>
      <c r="R56" s="254">
        <v>0</v>
      </c>
      <c r="S56" s="254">
        <v>173000000</v>
      </c>
      <c r="T56" s="254">
        <v>0</v>
      </c>
      <c r="U56" s="254">
        <v>0</v>
      </c>
      <c r="V56" s="254">
        <v>173000000</v>
      </c>
      <c r="W56" s="254">
        <v>0</v>
      </c>
      <c r="X56" s="254">
        <v>0</v>
      </c>
      <c r="Y56" s="254">
        <v>0</v>
      </c>
      <c r="Z56" s="254">
        <v>0</v>
      </c>
      <c r="AA56" s="231"/>
    </row>
    <row r="57" spans="1:27" s="229" customFormat="1" ht="22.5">
      <c r="A57" s="251" t="s">
        <v>12</v>
      </c>
      <c r="B57" s="252" t="s">
        <v>169</v>
      </c>
      <c r="C57" s="253" t="s">
        <v>294</v>
      </c>
      <c r="D57" s="251" t="s">
        <v>11</v>
      </c>
      <c r="E57" s="251" t="s">
        <v>332</v>
      </c>
      <c r="F57" s="251" t="s">
        <v>318</v>
      </c>
      <c r="G57" s="251" t="s">
        <v>307</v>
      </c>
      <c r="H57" s="251"/>
      <c r="I57" s="251"/>
      <c r="J57" s="251"/>
      <c r="K57" s="251"/>
      <c r="L57" s="251" t="s">
        <v>116</v>
      </c>
      <c r="M57" s="251" t="s">
        <v>125</v>
      </c>
      <c r="N57" s="251" t="s">
        <v>126</v>
      </c>
      <c r="O57" s="252" t="s">
        <v>334</v>
      </c>
      <c r="P57" s="254">
        <v>375000000</v>
      </c>
      <c r="Q57" s="254">
        <v>0</v>
      </c>
      <c r="R57" s="254">
        <v>0</v>
      </c>
      <c r="S57" s="254">
        <v>375000000</v>
      </c>
      <c r="T57" s="254">
        <v>0</v>
      </c>
      <c r="U57" s="254">
        <v>0</v>
      </c>
      <c r="V57" s="254">
        <v>375000000</v>
      </c>
      <c r="W57" s="254">
        <v>0</v>
      </c>
      <c r="X57" s="254">
        <v>0</v>
      </c>
      <c r="Y57" s="254">
        <v>0</v>
      </c>
      <c r="Z57" s="254">
        <v>0</v>
      </c>
      <c r="AA57" s="231"/>
    </row>
    <row r="58" spans="1:27" s="229" customFormat="1" ht="22.5">
      <c r="A58" s="251" t="s">
        <v>12</v>
      </c>
      <c r="B58" s="252" t="s">
        <v>169</v>
      </c>
      <c r="C58" s="253" t="s">
        <v>436</v>
      </c>
      <c r="D58" s="251" t="s">
        <v>430</v>
      </c>
      <c r="E58" s="251" t="s">
        <v>117</v>
      </c>
      <c r="F58" s="251" t="s">
        <v>318</v>
      </c>
      <c r="G58" s="251" t="s">
        <v>307</v>
      </c>
      <c r="H58" s="251"/>
      <c r="I58" s="251"/>
      <c r="J58" s="251"/>
      <c r="K58" s="251"/>
      <c r="L58" s="251" t="s">
        <v>116</v>
      </c>
      <c r="M58" s="251" t="s">
        <v>125</v>
      </c>
      <c r="N58" s="251" t="s">
        <v>118</v>
      </c>
      <c r="O58" s="252" t="s">
        <v>437</v>
      </c>
      <c r="P58" s="254">
        <v>109114303</v>
      </c>
      <c r="Q58" s="254">
        <v>0</v>
      </c>
      <c r="R58" s="254">
        <v>0</v>
      </c>
      <c r="S58" s="254">
        <v>109114303</v>
      </c>
      <c r="T58" s="254">
        <v>0</v>
      </c>
      <c r="U58" s="254">
        <v>0</v>
      </c>
      <c r="V58" s="254">
        <v>109114303</v>
      </c>
      <c r="W58" s="254">
        <v>0</v>
      </c>
      <c r="X58" s="254">
        <v>0</v>
      </c>
      <c r="Y58" s="254">
        <v>0</v>
      </c>
      <c r="Z58" s="254">
        <v>0</v>
      </c>
      <c r="AA58" s="231"/>
    </row>
    <row r="59" spans="1:27" s="229" customFormat="1" ht="67.5">
      <c r="A59" s="251" t="s">
        <v>12</v>
      </c>
      <c r="B59" s="252" t="s">
        <v>169</v>
      </c>
      <c r="C59" s="253" t="s">
        <v>170</v>
      </c>
      <c r="D59" s="251" t="s">
        <v>16</v>
      </c>
      <c r="E59" s="251" t="s">
        <v>136</v>
      </c>
      <c r="F59" s="251" t="s">
        <v>132</v>
      </c>
      <c r="G59" s="251" t="s">
        <v>119</v>
      </c>
      <c r="H59" s="251"/>
      <c r="I59" s="251"/>
      <c r="J59" s="251"/>
      <c r="K59" s="251"/>
      <c r="L59" s="251" t="s">
        <v>116</v>
      </c>
      <c r="M59" s="251" t="s">
        <v>125</v>
      </c>
      <c r="N59" s="251" t="s">
        <v>118</v>
      </c>
      <c r="O59" s="252" t="s">
        <v>171</v>
      </c>
      <c r="P59" s="254">
        <v>67010744264</v>
      </c>
      <c r="Q59" s="254">
        <v>0</v>
      </c>
      <c r="R59" s="254">
        <v>0</v>
      </c>
      <c r="S59" s="254">
        <v>67010744264</v>
      </c>
      <c r="T59" s="254">
        <v>0</v>
      </c>
      <c r="U59" s="254">
        <v>16964322927</v>
      </c>
      <c r="V59" s="254">
        <v>50046421337</v>
      </c>
      <c r="W59" s="254">
        <v>7244452005</v>
      </c>
      <c r="X59" s="254">
        <v>64718444</v>
      </c>
      <c r="Y59" s="254">
        <v>59918444</v>
      </c>
      <c r="Z59" s="254">
        <v>51280138</v>
      </c>
      <c r="AA59" s="231"/>
    </row>
    <row r="60" spans="1:27" s="229" customFormat="1" ht="45">
      <c r="A60" s="251" t="s">
        <v>12</v>
      </c>
      <c r="B60" s="252" t="s">
        <v>169</v>
      </c>
      <c r="C60" s="253" t="s">
        <v>158</v>
      </c>
      <c r="D60" s="251" t="s">
        <v>16</v>
      </c>
      <c r="E60" s="251" t="s">
        <v>157</v>
      </c>
      <c r="F60" s="251" t="s">
        <v>132</v>
      </c>
      <c r="G60" s="251" t="s">
        <v>122</v>
      </c>
      <c r="H60" s="251"/>
      <c r="I60" s="251"/>
      <c r="J60" s="251"/>
      <c r="K60" s="251"/>
      <c r="L60" s="251" t="s">
        <v>116</v>
      </c>
      <c r="M60" s="251" t="s">
        <v>125</v>
      </c>
      <c r="N60" s="251" t="s">
        <v>118</v>
      </c>
      <c r="O60" s="252" t="s">
        <v>439</v>
      </c>
      <c r="P60" s="254">
        <v>23000000000</v>
      </c>
      <c r="Q60" s="254">
        <v>0</v>
      </c>
      <c r="R60" s="254">
        <v>0</v>
      </c>
      <c r="S60" s="254">
        <v>23000000000</v>
      </c>
      <c r="T60" s="254">
        <v>0</v>
      </c>
      <c r="U60" s="254">
        <v>9669630447</v>
      </c>
      <c r="V60" s="254">
        <v>13330369553</v>
      </c>
      <c r="W60" s="254">
        <v>6273247215.9499998</v>
      </c>
      <c r="X60" s="254">
        <v>80674570</v>
      </c>
      <c r="Y60" s="254">
        <v>80674570</v>
      </c>
      <c r="Z60" s="254">
        <v>38889448</v>
      </c>
      <c r="AA60" s="231"/>
    </row>
    <row r="61" spans="1:27" s="229" customFormat="1" ht="22.5">
      <c r="A61" s="251" t="s">
        <v>13</v>
      </c>
      <c r="B61" s="252" t="s">
        <v>172</v>
      </c>
      <c r="C61" s="253" t="s">
        <v>306</v>
      </c>
      <c r="D61" s="251" t="s">
        <v>11</v>
      </c>
      <c r="E61" s="251" t="s">
        <v>307</v>
      </c>
      <c r="F61" s="251" t="s">
        <v>307</v>
      </c>
      <c r="G61" s="251" t="s">
        <v>307</v>
      </c>
      <c r="H61" s="251"/>
      <c r="I61" s="251"/>
      <c r="J61" s="251"/>
      <c r="K61" s="251"/>
      <c r="L61" s="251" t="s">
        <v>116</v>
      </c>
      <c r="M61" s="251" t="s">
        <v>125</v>
      </c>
      <c r="N61" s="251" t="s">
        <v>126</v>
      </c>
      <c r="O61" s="252" t="s">
        <v>308</v>
      </c>
      <c r="P61" s="254">
        <v>37945300000</v>
      </c>
      <c r="Q61" s="254">
        <v>0</v>
      </c>
      <c r="R61" s="254">
        <v>0</v>
      </c>
      <c r="S61" s="254">
        <v>37945300000</v>
      </c>
      <c r="T61" s="254">
        <v>0</v>
      </c>
      <c r="U61" s="254">
        <v>37945300000</v>
      </c>
      <c r="V61" s="254">
        <v>0</v>
      </c>
      <c r="W61" s="254">
        <v>2936291072</v>
      </c>
      <c r="X61" s="254">
        <v>2935538552</v>
      </c>
      <c r="Y61" s="254">
        <v>2935538552</v>
      </c>
      <c r="Z61" s="254">
        <v>2935538552</v>
      </c>
      <c r="AA61" s="231"/>
    </row>
    <row r="62" spans="1:27" s="229" customFormat="1" ht="22.5">
      <c r="A62" s="251" t="s">
        <v>13</v>
      </c>
      <c r="B62" s="252" t="s">
        <v>172</v>
      </c>
      <c r="C62" s="253" t="s">
        <v>309</v>
      </c>
      <c r="D62" s="251" t="s">
        <v>11</v>
      </c>
      <c r="E62" s="251" t="s">
        <v>307</v>
      </c>
      <c r="F62" s="251" t="s">
        <v>307</v>
      </c>
      <c r="G62" s="251" t="s">
        <v>310</v>
      </c>
      <c r="H62" s="251"/>
      <c r="I62" s="251"/>
      <c r="J62" s="251"/>
      <c r="K62" s="251"/>
      <c r="L62" s="251" t="s">
        <v>116</v>
      </c>
      <c r="M62" s="251" t="s">
        <v>125</v>
      </c>
      <c r="N62" s="251" t="s">
        <v>126</v>
      </c>
      <c r="O62" s="252" t="s">
        <v>311</v>
      </c>
      <c r="P62" s="254">
        <v>13653600000</v>
      </c>
      <c r="Q62" s="254">
        <v>0</v>
      </c>
      <c r="R62" s="254">
        <v>0</v>
      </c>
      <c r="S62" s="254">
        <v>13653600000</v>
      </c>
      <c r="T62" s="254">
        <v>0</v>
      </c>
      <c r="U62" s="254">
        <v>13653600000</v>
      </c>
      <c r="V62" s="254">
        <v>0</v>
      </c>
      <c r="W62" s="254">
        <v>1172200167</v>
      </c>
      <c r="X62" s="254">
        <v>1172200167</v>
      </c>
      <c r="Y62" s="254">
        <v>1172200167</v>
      </c>
      <c r="Z62" s="254">
        <v>1172200167</v>
      </c>
      <c r="AA62" s="231"/>
    </row>
    <row r="63" spans="1:27" s="229" customFormat="1" ht="33.75">
      <c r="A63" s="251" t="s">
        <v>13</v>
      </c>
      <c r="B63" s="252" t="s">
        <v>172</v>
      </c>
      <c r="C63" s="253" t="s">
        <v>312</v>
      </c>
      <c r="D63" s="251" t="s">
        <v>11</v>
      </c>
      <c r="E63" s="251" t="s">
        <v>307</v>
      </c>
      <c r="F63" s="251" t="s">
        <v>307</v>
      </c>
      <c r="G63" s="251" t="s">
        <v>313</v>
      </c>
      <c r="H63" s="251"/>
      <c r="I63" s="251"/>
      <c r="J63" s="251"/>
      <c r="K63" s="251"/>
      <c r="L63" s="251" t="s">
        <v>116</v>
      </c>
      <c r="M63" s="251" t="s">
        <v>125</v>
      </c>
      <c r="N63" s="251" t="s">
        <v>126</v>
      </c>
      <c r="O63" s="252" t="s">
        <v>314</v>
      </c>
      <c r="P63" s="254">
        <v>3530200000</v>
      </c>
      <c r="Q63" s="254">
        <v>0</v>
      </c>
      <c r="R63" s="254">
        <v>0</v>
      </c>
      <c r="S63" s="254">
        <v>3530200000</v>
      </c>
      <c r="T63" s="254">
        <v>0</v>
      </c>
      <c r="U63" s="254">
        <v>3530200000</v>
      </c>
      <c r="V63" s="254">
        <v>0</v>
      </c>
      <c r="W63" s="254">
        <v>158670120</v>
      </c>
      <c r="X63" s="254">
        <v>158670120</v>
      </c>
      <c r="Y63" s="254">
        <v>158670120</v>
      </c>
      <c r="Z63" s="254">
        <v>158670120</v>
      </c>
      <c r="AA63" s="231"/>
    </row>
    <row r="64" spans="1:27" s="229" customFormat="1" ht="33.75">
      <c r="A64" s="251" t="s">
        <v>13</v>
      </c>
      <c r="B64" s="252" t="s">
        <v>172</v>
      </c>
      <c r="C64" s="253" t="s">
        <v>347</v>
      </c>
      <c r="D64" s="251" t="s">
        <v>11</v>
      </c>
      <c r="E64" s="251" t="s">
        <v>307</v>
      </c>
      <c r="F64" s="251" t="s">
        <v>307</v>
      </c>
      <c r="G64" s="251" t="s">
        <v>318</v>
      </c>
      <c r="H64" s="251"/>
      <c r="I64" s="251"/>
      <c r="J64" s="251"/>
      <c r="K64" s="251"/>
      <c r="L64" s="251" t="s">
        <v>116</v>
      </c>
      <c r="M64" s="251" t="s">
        <v>125</v>
      </c>
      <c r="N64" s="251" t="s">
        <v>126</v>
      </c>
      <c r="O64" s="252" t="s">
        <v>372</v>
      </c>
      <c r="P64" s="254">
        <v>4651100000</v>
      </c>
      <c r="Q64" s="254">
        <v>0</v>
      </c>
      <c r="R64" s="254">
        <v>0</v>
      </c>
      <c r="S64" s="254">
        <v>4651100000</v>
      </c>
      <c r="T64" s="254">
        <v>4651100000</v>
      </c>
      <c r="U64" s="254">
        <v>0</v>
      </c>
      <c r="V64" s="254">
        <v>0</v>
      </c>
      <c r="W64" s="254">
        <v>0</v>
      </c>
      <c r="X64" s="254">
        <v>0</v>
      </c>
      <c r="Y64" s="254">
        <v>0</v>
      </c>
      <c r="Z64" s="254">
        <v>0</v>
      </c>
      <c r="AA64" s="231"/>
    </row>
    <row r="65" spans="1:27" s="229" customFormat="1" ht="22.5">
      <c r="A65" s="251" t="s">
        <v>13</v>
      </c>
      <c r="B65" s="252" t="s">
        <v>172</v>
      </c>
      <c r="C65" s="253" t="s">
        <v>432</v>
      </c>
      <c r="D65" s="251" t="s">
        <v>11</v>
      </c>
      <c r="E65" s="251" t="s">
        <v>310</v>
      </c>
      <c r="F65" s="251"/>
      <c r="G65" s="251"/>
      <c r="H65" s="251"/>
      <c r="I65" s="251"/>
      <c r="J65" s="251"/>
      <c r="K65" s="251"/>
      <c r="L65" s="251" t="s">
        <v>116</v>
      </c>
      <c r="M65" s="251" t="s">
        <v>125</v>
      </c>
      <c r="N65" s="251" t="s">
        <v>126</v>
      </c>
      <c r="O65" s="252" t="s">
        <v>433</v>
      </c>
      <c r="P65" s="254">
        <v>20315500000</v>
      </c>
      <c r="Q65" s="254">
        <v>0</v>
      </c>
      <c r="R65" s="254">
        <v>0</v>
      </c>
      <c r="S65" s="254">
        <v>20315500000</v>
      </c>
      <c r="T65" s="254">
        <v>0</v>
      </c>
      <c r="U65" s="254">
        <v>15947595121.780001</v>
      </c>
      <c r="V65" s="254">
        <v>4367904878.2200003</v>
      </c>
      <c r="W65" s="254">
        <v>11484759792.43</v>
      </c>
      <c r="X65" s="254">
        <v>789495025.5</v>
      </c>
      <c r="Y65" s="254">
        <v>789495025.5</v>
      </c>
      <c r="Z65" s="254">
        <v>781161853.5</v>
      </c>
      <c r="AA65" s="231"/>
    </row>
    <row r="66" spans="1:27" s="229" customFormat="1" ht="33.75">
      <c r="A66" s="251" t="s">
        <v>13</v>
      </c>
      <c r="B66" s="252" t="s">
        <v>172</v>
      </c>
      <c r="C66" s="253" t="s">
        <v>330</v>
      </c>
      <c r="D66" s="251" t="s">
        <v>11</v>
      </c>
      <c r="E66" s="251" t="s">
        <v>313</v>
      </c>
      <c r="F66" s="251" t="s">
        <v>318</v>
      </c>
      <c r="G66" s="251" t="s">
        <v>310</v>
      </c>
      <c r="H66" s="251" t="s">
        <v>331</v>
      </c>
      <c r="I66" s="251"/>
      <c r="J66" s="251"/>
      <c r="K66" s="251"/>
      <c r="L66" s="251" t="s">
        <v>116</v>
      </c>
      <c r="M66" s="251" t="s">
        <v>125</v>
      </c>
      <c r="N66" s="251" t="s">
        <v>126</v>
      </c>
      <c r="O66" s="252" t="s">
        <v>352</v>
      </c>
      <c r="P66" s="254">
        <v>243200000</v>
      </c>
      <c r="Q66" s="254">
        <v>0</v>
      </c>
      <c r="R66" s="254">
        <v>0</v>
      </c>
      <c r="S66" s="254">
        <v>243200000</v>
      </c>
      <c r="T66" s="254">
        <v>0</v>
      </c>
      <c r="U66" s="254">
        <v>243200000</v>
      </c>
      <c r="V66" s="254">
        <v>0</v>
      </c>
      <c r="W66" s="254">
        <v>16934691</v>
      </c>
      <c r="X66" s="254">
        <v>16934691</v>
      </c>
      <c r="Y66" s="254">
        <v>16934691</v>
      </c>
      <c r="Z66" s="254">
        <v>16934691</v>
      </c>
      <c r="AA66" s="231"/>
    </row>
    <row r="67" spans="1:27" s="229" customFormat="1" ht="22.5">
      <c r="A67" s="251" t="s">
        <v>13</v>
      </c>
      <c r="B67" s="252" t="s">
        <v>172</v>
      </c>
      <c r="C67" s="253" t="s">
        <v>434</v>
      </c>
      <c r="D67" s="251" t="s">
        <v>11</v>
      </c>
      <c r="E67" s="251" t="s">
        <v>313</v>
      </c>
      <c r="F67" s="251" t="s">
        <v>117</v>
      </c>
      <c r="G67" s="251"/>
      <c r="H67" s="251"/>
      <c r="I67" s="251"/>
      <c r="J67" s="251"/>
      <c r="K67" s="251"/>
      <c r="L67" s="251" t="s">
        <v>116</v>
      </c>
      <c r="M67" s="251" t="s">
        <v>125</v>
      </c>
      <c r="N67" s="251" t="s">
        <v>126</v>
      </c>
      <c r="O67" s="252" t="s">
        <v>435</v>
      </c>
      <c r="P67" s="254">
        <v>101600000</v>
      </c>
      <c r="Q67" s="254">
        <v>0</v>
      </c>
      <c r="R67" s="254">
        <v>0</v>
      </c>
      <c r="S67" s="254">
        <v>101600000</v>
      </c>
      <c r="T67" s="254">
        <v>0</v>
      </c>
      <c r="U67" s="254">
        <v>0</v>
      </c>
      <c r="V67" s="254">
        <v>101600000</v>
      </c>
      <c r="W67" s="254">
        <v>0</v>
      </c>
      <c r="X67" s="254">
        <v>0</v>
      </c>
      <c r="Y67" s="254">
        <v>0</v>
      </c>
      <c r="Z67" s="254">
        <v>0</v>
      </c>
      <c r="AA67" s="231"/>
    </row>
    <row r="68" spans="1:27" s="229" customFormat="1" ht="22.5">
      <c r="A68" s="251" t="s">
        <v>13</v>
      </c>
      <c r="B68" s="252" t="s">
        <v>172</v>
      </c>
      <c r="C68" s="253" t="s">
        <v>298</v>
      </c>
      <c r="D68" s="251" t="s">
        <v>11</v>
      </c>
      <c r="E68" s="251" t="s">
        <v>332</v>
      </c>
      <c r="F68" s="251" t="s">
        <v>307</v>
      </c>
      <c r="G68" s="251"/>
      <c r="H68" s="251"/>
      <c r="I68" s="251"/>
      <c r="J68" s="251"/>
      <c r="K68" s="251"/>
      <c r="L68" s="251" t="s">
        <v>116</v>
      </c>
      <c r="M68" s="251" t="s">
        <v>125</v>
      </c>
      <c r="N68" s="251" t="s">
        <v>126</v>
      </c>
      <c r="O68" s="252" t="s">
        <v>333</v>
      </c>
      <c r="P68" s="254">
        <v>26495000</v>
      </c>
      <c r="Q68" s="254">
        <v>0</v>
      </c>
      <c r="R68" s="254">
        <v>0</v>
      </c>
      <c r="S68" s="254">
        <v>26495000</v>
      </c>
      <c r="T68" s="254">
        <v>0</v>
      </c>
      <c r="U68" s="254">
        <v>300000</v>
      </c>
      <c r="V68" s="254">
        <v>26195000</v>
      </c>
      <c r="W68" s="254">
        <v>300000</v>
      </c>
      <c r="X68" s="254">
        <v>300000</v>
      </c>
      <c r="Y68" s="254">
        <v>300000</v>
      </c>
      <c r="Z68" s="254">
        <v>300000</v>
      </c>
      <c r="AA68" s="231"/>
    </row>
    <row r="69" spans="1:27" s="229" customFormat="1" ht="22.5">
      <c r="A69" s="251" t="s">
        <v>13</v>
      </c>
      <c r="B69" s="252" t="s">
        <v>172</v>
      </c>
      <c r="C69" s="253" t="s">
        <v>294</v>
      </c>
      <c r="D69" s="251" t="s">
        <v>11</v>
      </c>
      <c r="E69" s="251" t="s">
        <v>332</v>
      </c>
      <c r="F69" s="251" t="s">
        <v>318</v>
      </c>
      <c r="G69" s="251" t="s">
        <v>307</v>
      </c>
      <c r="H69" s="251"/>
      <c r="I69" s="251"/>
      <c r="J69" s="251"/>
      <c r="K69" s="251"/>
      <c r="L69" s="251" t="s">
        <v>116</v>
      </c>
      <c r="M69" s="251" t="s">
        <v>125</v>
      </c>
      <c r="N69" s="251" t="s">
        <v>126</v>
      </c>
      <c r="O69" s="252" t="s">
        <v>334</v>
      </c>
      <c r="P69" s="254">
        <v>152570000</v>
      </c>
      <c r="Q69" s="254">
        <v>0</v>
      </c>
      <c r="R69" s="254">
        <v>0</v>
      </c>
      <c r="S69" s="254">
        <v>152570000</v>
      </c>
      <c r="T69" s="254">
        <v>0</v>
      </c>
      <c r="U69" s="254">
        <v>0</v>
      </c>
      <c r="V69" s="254">
        <v>152570000</v>
      </c>
      <c r="W69" s="254">
        <v>0</v>
      </c>
      <c r="X69" s="254">
        <v>0</v>
      </c>
      <c r="Y69" s="254">
        <v>0</v>
      </c>
      <c r="Z69" s="254">
        <v>0</v>
      </c>
      <c r="AA69" s="231"/>
    </row>
    <row r="70" spans="1:27" s="229" customFormat="1" ht="22.5">
      <c r="A70" s="251" t="s">
        <v>13</v>
      </c>
      <c r="B70" s="252" t="s">
        <v>172</v>
      </c>
      <c r="C70" s="253" t="s">
        <v>436</v>
      </c>
      <c r="D70" s="251" t="s">
        <v>430</v>
      </c>
      <c r="E70" s="251" t="s">
        <v>117</v>
      </c>
      <c r="F70" s="251" t="s">
        <v>318</v>
      </c>
      <c r="G70" s="251" t="s">
        <v>307</v>
      </c>
      <c r="H70" s="251"/>
      <c r="I70" s="251"/>
      <c r="J70" s="251"/>
      <c r="K70" s="251"/>
      <c r="L70" s="251" t="s">
        <v>116</v>
      </c>
      <c r="M70" s="251" t="s">
        <v>125</v>
      </c>
      <c r="N70" s="251" t="s">
        <v>118</v>
      </c>
      <c r="O70" s="252" t="s">
        <v>437</v>
      </c>
      <c r="P70" s="254">
        <v>1319413612</v>
      </c>
      <c r="Q70" s="254">
        <v>0</v>
      </c>
      <c r="R70" s="254">
        <v>0</v>
      </c>
      <c r="S70" s="254">
        <v>1319413612</v>
      </c>
      <c r="T70" s="254">
        <v>0</v>
      </c>
      <c r="U70" s="254">
        <v>0</v>
      </c>
      <c r="V70" s="254">
        <v>1319413612</v>
      </c>
      <c r="W70" s="254">
        <v>0</v>
      </c>
      <c r="X70" s="254">
        <v>0</v>
      </c>
      <c r="Y70" s="254">
        <v>0</v>
      </c>
      <c r="Z70" s="254">
        <v>0</v>
      </c>
      <c r="AA70" s="231"/>
    </row>
    <row r="71" spans="1:27" s="229" customFormat="1" ht="67.5">
      <c r="A71" s="251" t="s">
        <v>13</v>
      </c>
      <c r="B71" s="252" t="s">
        <v>172</v>
      </c>
      <c r="C71" s="253" t="s">
        <v>158</v>
      </c>
      <c r="D71" s="251" t="s">
        <v>16</v>
      </c>
      <c r="E71" s="251" t="s">
        <v>157</v>
      </c>
      <c r="F71" s="251" t="s">
        <v>132</v>
      </c>
      <c r="G71" s="251" t="s">
        <v>122</v>
      </c>
      <c r="H71" s="251" t="s">
        <v>84</v>
      </c>
      <c r="I71" s="251" t="s">
        <v>84</v>
      </c>
      <c r="J71" s="251" t="s">
        <v>84</v>
      </c>
      <c r="K71" s="251" t="s">
        <v>84</v>
      </c>
      <c r="L71" s="251" t="s">
        <v>116</v>
      </c>
      <c r="M71" s="251" t="s">
        <v>125</v>
      </c>
      <c r="N71" s="251" t="s">
        <v>118</v>
      </c>
      <c r="O71" s="252" t="s">
        <v>379</v>
      </c>
      <c r="P71" s="254">
        <v>3653134329</v>
      </c>
      <c r="Q71" s="254">
        <v>0</v>
      </c>
      <c r="R71" s="254">
        <v>0</v>
      </c>
      <c r="S71" s="254">
        <v>3653134329</v>
      </c>
      <c r="T71" s="254">
        <v>0</v>
      </c>
      <c r="U71" s="254">
        <v>3606884449</v>
      </c>
      <c r="V71" s="254">
        <v>46249880</v>
      </c>
      <c r="W71" s="254">
        <v>3196324150</v>
      </c>
      <c r="X71" s="254">
        <v>168841146</v>
      </c>
      <c r="Y71" s="254">
        <v>161251177</v>
      </c>
      <c r="Z71" s="254">
        <v>135015171</v>
      </c>
      <c r="AA71" s="231"/>
    </row>
    <row r="72" spans="1:27" s="229" customFormat="1" ht="33.75">
      <c r="A72" s="251" t="s">
        <v>14</v>
      </c>
      <c r="B72" s="252" t="s">
        <v>394</v>
      </c>
      <c r="C72" s="253" t="s">
        <v>306</v>
      </c>
      <c r="D72" s="251" t="s">
        <v>11</v>
      </c>
      <c r="E72" s="251" t="s">
        <v>307</v>
      </c>
      <c r="F72" s="251" t="s">
        <v>307</v>
      </c>
      <c r="G72" s="251" t="s">
        <v>307</v>
      </c>
      <c r="H72" s="251"/>
      <c r="I72" s="251"/>
      <c r="J72" s="251"/>
      <c r="K72" s="251"/>
      <c r="L72" s="251" t="s">
        <v>116</v>
      </c>
      <c r="M72" s="251" t="s">
        <v>117</v>
      </c>
      <c r="N72" s="251" t="s">
        <v>118</v>
      </c>
      <c r="O72" s="252" t="s">
        <v>308</v>
      </c>
      <c r="P72" s="254">
        <v>23073000000</v>
      </c>
      <c r="Q72" s="254">
        <v>0</v>
      </c>
      <c r="R72" s="254">
        <v>0</v>
      </c>
      <c r="S72" s="254">
        <v>23073000000</v>
      </c>
      <c r="T72" s="254">
        <v>0</v>
      </c>
      <c r="U72" s="254">
        <v>23073000000</v>
      </c>
      <c r="V72" s="254">
        <v>0</v>
      </c>
      <c r="W72" s="254">
        <v>1337654058</v>
      </c>
      <c r="X72" s="254">
        <v>1324395150</v>
      </c>
      <c r="Y72" s="254">
        <v>1305195689</v>
      </c>
      <c r="Z72" s="254">
        <v>1305195689</v>
      </c>
      <c r="AA72" s="231"/>
    </row>
    <row r="73" spans="1:27" s="229" customFormat="1" ht="33.75">
      <c r="A73" s="251" t="s">
        <v>14</v>
      </c>
      <c r="B73" s="252" t="s">
        <v>394</v>
      </c>
      <c r="C73" s="253" t="s">
        <v>309</v>
      </c>
      <c r="D73" s="251" t="s">
        <v>11</v>
      </c>
      <c r="E73" s="251" t="s">
        <v>307</v>
      </c>
      <c r="F73" s="251" t="s">
        <v>307</v>
      </c>
      <c r="G73" s="251" t="s">
        <v>310</v>
      </c>
      <c r="H73" s="251"/>
      <c r="I73" s="251"/>
      <c r="J73" s="251"/>
      <c r="K73" s="251"/>
      <c r="L73" s="251" t="s">
        <v>116</v>
      </c>
      <c r="M73" s="251" t="s">
        <v>117</v>
      </c>
      <c r="N73" s="251" t="s">
        <v>118</v>
      </c>
      <c r="O73" s="252" t="s">
        <v>311</v>
      </c>
      <c r="P73" s="254">
        <v>8591000000</v>
      </c>
      <c r="Q73" s="254">
        <v>0</v>
      </c>
      <c r="R73" s="254">
        <v>0</v>
      </c>
      <c r="S73" s="254">
        <v>8591000000</v>
      </c>
      <c r="T73" s="254">
        <v>0</v>
      </c>
      <c r="U73" s="254">
        <v>8591000000</v>
      </c>
      <c r="V73" s="254">
        <v>0</v>
      </c>
      <c r="W73" s="254">
        <v>577657707</v>
      </c>
      <c r="X73" s="254">
        <v>576286141</v>
      </c>
      <c r="Y73" s="254">
        <v>570926940</v>
      </c>
      <c r="Z73" s="254">
        <v>570926940</v>
      </c>
      <c r="AA73" s="231"/>
    </row>
    <row r="74" spans="1:27" s="229" customFormat="1" ht="33.75">
      <c r="A74" s="251" t="s">
        <v>14</v>
      </c>
      <c r="B74" s="252" t="s">
        <v>394</v>
      </c>
      <c r="C74" s="253" t="s">
        <v>312</v>
      </c>
      <c r="D74" s="251" t="s">
        <v>11</v>
      </c>
      <c r="E74" s="251" t="s">
        <v>307</v>
      </c>
      <c r="F74" s="251" t="s">
        <v>307</v>
      </c>
      <c r="G74" s="251" t="s">
        <v>313</v>
      </c>
      <c r="H74" s="251"/>
      <c r="I74" s="251"/>
      <c r="J74" s="251"/>
      <c r="K74" s="251"/>
      <c r="L74" s="251" t="s">
        <v>116</v>
      </c>
      <c r="M74" s="251" t="s">
        <v>117</v>
      </c>
      <c r="N74" s="251" t="s">
        <v>118</v>
      </c>
      <c r="O74" s="252" t="s">
        <v>314</v>
      </c>
      <c r="P74" s="254">
        <v>2343000000</v>
      </c>
      <c r="Q74" s="254">
        <v>0</v>
      </c>
      <c r="R74" s="254">
        <v>0</v>
      </c>
      <c r="S74" s="254">
        <v>2343000000</v>
      </c>
      <c r="T74" s="254">
        <v>0</v>
      </c>
      <c r="U74" s="254">
        <v>2343000000</v>
      </c>
      <c r="V74" s="254">
        <v>0</v>
      </c>
      <c r="W74" s="254">
        <v>116423039</v>
      </c>
      <c r="X74" s="254">
        <v>108988942</v>
      </c>
      <c r="Y74" s="254">
        <v>98079018</v>
      </c>
      <c r="Z74" s="254">
        <v>98079018</v>
      </c>
      <c r="AA74" s="231"/>
    </row>
    <row r="75" spans="1:27" s="229" customFormat="1" ht="33.75">
      <c r="A75" s="251" t="s">
        <v>14</v>
      </c>
      <c r="B75" s="252" t="s">
        <v>394</v>
      </c>
      <c r="C75" s="253" t="s">
        <v>432</v>
      </c>
      <c r="D75" s="251" t="s">
        <v>11</v>
      </c>
      <c r="E75" s="251" t="s">
        <v>310</v>
      </c>
      <c r="F75" s="251"/>
      <c r="G75" s="251"/>
      <c r="H75" s="251"/>
      <c r="I75" s="251"/>
      <c r="J75" s="251"/>
      <c r="K75" s="251"/>
      <c r="L75" s="251" t="s">
        <v>116</v>
      </c>
      <c r="M75" s="251" t="s">
        <v>117</v>
      </c>
      <c r="N75" s="251" t="s">
        <v>118</v>
      </c>
      <c r="O75" s="252" t="s">
        <v>433</v>
      </c>
      <c r="P75" s="254">
        <v>20188000000</v>
      </c>
      <c r="Q75" s="254">
        <v>0</v>
      </c>
      <c r="R75" s="254">
        <v>0</v>
      </c>
      <c r="S75" s="254">
        <v>20188000000</v>
      </c>
      <c r="T75" s="254">
        <v>0</v>
      </c>
      <c r="U75" s="254">
        <v>12416917367.73</v>
      </c>
      <c r="V75" s="254">
        <v>7771082632.2700005</v>
      </c>
      <c r="W75" s="254">
        <v>10005336241.879999</v>
      </c>
      <c r="X75" s="254">
        <v>931227889.14999998</v>
      </c>
      <c r="Y75" s="254">
        <v>528338361.14999998</v>
      </c>
      <c r="Z75" s="254">
        <v>443370634.68000001</v>
      </c>
      <c r="AA75" s="231"/>
    </row>
    <row r="76" spans="1:27" s="229" customFormat="1" ht="33.75">
      <c r="A76" s="251" t="s">
        <v>14</v>
      </c>
      <c r="B76" s="252" t="s">
        <v>394</v>
      </c>
      <c r="C76" s="253" t="s">
        <v>330</v>
      </c>
      <c r="D76" s="251" t="s">
        <v>11</v>
      </c>
      <c r="E76" s="251" t="s">
        <v>313</v>
      </c>
      <c r="F76" s="251" t="s">
        <v>318</v>
      </c>
      <c r="G76" s="251" t="s">
        <v>310</v>
      </c>
      <c r="H76" s="251" t="s">
        <v>331</v>
      </c>
      <c r="I76" s="251"/>
      <c r="J76" s="251"/>
      <c r="K76" s="251"/>
      <c r="L76" s="251" t="s">
        <v>116</v>
      </c>
      <c r="M76" s="251" t="s">
        <v>117</v>
      </c>
      <c r="N76" s="251" t="s">
        <v>118</v>
      </c>
      <c r="O76" s="252" t="s">
        <v>352</v>
      </c>
      <c r="P76" s="254">
        <v>163000000</v>
      </c>
      <c r="Q76" s="254">
        <v>0</v>
      </c>
      <c r="R76" s="254">
        <v>0</v>
      </c>
      <c r="S76" s="254">
        <v>163000000</v>
      </c>
      <c r="T76" s="254">
        <v>0</v>
      </c>
      <c r="U76" s="254">
        <v>163000000</v>
      </c>
      <c r="V76" s="254">
        <v>0</v>
      </c>
      <c r="W76" s="254">
        <v>7191529</v>
      </c>
      <c r="X76" s="254">
        <v>7191529</v>
      </c>
      <c r="Y76" s="254">
        <v>7191529</v>
      </c>
      <c r="Z76" s="254">
        <v>7191529</v>
      </c>
      <c r="AA76" s="231"/>
    </row>
    <row r="77" spans="1:27" s="229" customFormat="1" ht="33.75">
      <c r="A77" s="251" t="s">
        <v>14</v>
      </c>
      <c r="B77" s="252" t="s">
        <v>394</v>
      </c>
      <c r="C77" s="253" t="s">
        <v>434</v>
      </c>
      <c r="D77" s="251" t="s">
        <v>11</v>
      </c>
      <c r="E77" s="251" t="s">
        <v>313</v>
      </c>
      <c r="F77" s="251" t="s">
        <v>117</v>
      </c>
      <c r="G77" s="251"/>
      <c r="H77" s="251"/>
      <c r="I77" s="251"/>
      <c r="J77" s="251"/>
      <c r="K77" s="251"/>
      <c r="L77" s="251" t="s">
        <v>116</v>
      </c>
      <c r="M77" s="251" t="s">
        <v>117</v>
      </c>
      <c r="N77" s="251" t="s">
        <v>118</v>
      </c>
      <c r="O77" s="252" t="s">
        <v>435</v>
      </c>
      <c r="P77" s="254">
        <v>152000000</v>
      </c>
      <c r="Q77" s="254">
        <v>0</v>
      </c>
      <c r="R77" s="254">
        <v>0</v>
      </c>
      <c r="S77" s="254">
        <v>152000000</v>
      </c>
      <c r="T77" s="254">
        <v>0</v>
      </c>
      <c r="U77" s="254">
        <v>0</v>
      </c>
      <c r="V77" s="254">
        <v>152000000</v>
      </c>
      <c r="W77" s="254">
        <v>0</v>
      </c>
      <c r="X77" s="254">
        <v>0</v>
      </c>
      <c r="Y77" s="254">
        <v>0</v>
      </c>
      <c r="Z77" s="254">
        <v>0</v>
      </c>
      <c r="AA77" s="231"/>
    </row>
    <row r="78" spans="1:27" s="229" customFormat="1" ht="33.75">
      <c r="A78" s="251" t="s">
        <v>14</v>
      </c>
      <c r="B78" s="252" t="s">
        <v>394</v>
      </c>
      <c r="C78" s="253" t="s">
        <v>298</v>
      </c>
      <c r="D78" s="251" t="s">
        <v>11</v>
      </c>
      <c r="E78" s="251" t="s">
        <v>332</v>
      </c>
      <c r="F78" s="251" t="s">
        <v>307</v>
      </c>
      <c r="G78" s="251"/>
      <c r="H78" s="251"/>
      <c r="I78" s="251"/>
      <c r="J78" s="251"/>
      <c r="K78" s="251"/>
      <c r="L78" s="251" t="s">
        <v>116</v>
      </c>
      <c r="M78" s="251" t="s">
        <v>117</v>
      </c>
      <c r="N78" s="251" t="s">
        <v>118</v>
      </c>
      <c r="O78" s="252" t="s">
        <v>333</v>
      </c>
      <c r="P78" s="254">
        <v>211000000</v>
      </c>
      <c r="Q78" s="254">
        <v>0</v>
      </c>
      <c r="R78" s="254">
        <v>0</v>
      </c>
      <c r="S78" s="254">
        <v>211000000</v>
      </c>
      <c r="T78" s="254">
        <v>0</v>
      </c>
      <c r="U78" s="254">
        <v>0</v>
      </c>
      <c r="V78" s="254">
        <v>211000000</v>
      </c>
      <c r="W78" s="254">
        <v>0</v>
      </c>
      <c r="X78" s="254">
        <v>0</v>
      </c>
      <c r="Y78" s="254">
        <v>0</v>
      </c>
      <c r="Z78" s="254">
        <v>0</v>
      </c>
      <c r="AA78" s="231"/>
    </row>
    <row r="79" spans="1:27" s="229" customFormat="1" ht="33.75">
      <c r="A79" s="251" t="s">
        <v>14</v>
      </c>
      <c r="B79" s="252" t="s">
        <v>394</v>
      </c>
      <c r="C79" s="253" t="s">
        <v>294</v>
      </c>
      <c r="D79" s="251" t="s">
        <v>11</v>
      </c>
      <c r="E79" s="251" t="s">
        <v>332</v>
      </c>
      <c r="F79" s="251" t="s">
        <v>318</v>
      </c>
      <c r="G79" s="251" t="s">
        <v>307</v>
      </c>
      <c r="H79" s="251"/>
      <c r="I79" s="251"/>
      <c r="J79" s="251"/>
      <c r="K79" s="251"/>
      <c r="L79" s="251" t="s">
        <v>116</v>
      </c>
      <c r="M79" s="251" t="s">
        <v>125</v>
      </c>
      <c r="N79" s="251" t="s">
        <v>126</v>
      </c>
      <c r="O79" s="252" t="s">
        <v>334</v>
      </c>
      <c r="P79" s="254">
        <v>231000000</v>
      </c>
      <c r="Q79" s="254">
        <v>0</v>
      </c>
      <c r="R79" s="254">
        <v>0</v>
      </c>
      <c r="S79" s="254">
        <v>231000000</v>
      </c>
      <c r="T79" s="254">
        <v>0</v>
      </c>
      <c r="U79" s="254">
        <v>0</v>
      </c>
      <c r="V79" s="254">
        <v>231000000</v>
      </c>
      <c r="W79" s="254">
        <v>0</v>
      </c>
      <c r="X79" s="254">
        <v>0</v>
      </c>
      <c r="Y79" s="254">
        <v>0</v>
      </c>
      <c r="Z79" s="254">
        <v>0</v>
      </c>
      <c r="AA79" s="231"/>
    </row>
    <row r="80" spans="1:27" s="229" customFormat="1" ht="33.75">
      <c r="A80" s="251" t="s">
        <v>14</v>
      </c>
      <c r="B80" s="252" t="s">
        <v>394</v>
      </c>
      <c r="C80" s="253" t="s">
        <v>436</v>
      </c>
      <c r="D80" s="251" t="s">
        <v>430</v>
      </c>
      <c r="E80" s="251" t="s">
        <v>117</v>
      </c>
      <c r="F80" s="251" t="s">
        <v>318</v>
      </c>
      <c r="G80" s="251" t="s">
        <v>307</v>
      </c>
      <c r="H80" s="251"/>
      <c r="I80" s="251"/>
      <c r="J80" s="251"/>
      <c r="K80" s="251"/>
      <c r="L80" s="251" t="s">
        <v>116</v>
      </c>
      <c r="M80" s="251" t="s">
        <v>125</v>
      </c>
      <c r="N80" s="251" t="s">
        <v>118</v>
      </c>
      <c r="O80" s="252" t="s">
        <v>437</v>
      </c>
      <c r="P80" s="254">
        <v>131748779</v>
      </c>
      <c r="Q80" s="254">
        <v>0</v>
      </c>
      <c r="R80" s="254">
        <v>0</v>
      </c>
      <c r="S80" s="254">
        <v>131748779</v>
      </c>
      <c r="T80" s="254">
        <v>0</v>
      </c>
      <c r="U80" s="254">
        <v>0</v>
      </c>
      <c r="V80" s="254">
        <v>131748779</v>
      </c>
      <c r="W80" s="254">
        <v>0</v>
      </c>
      <c r="X80" s="254">
        <v>0</v>
      </c>
      <c r="Y80" s="254">
        <v>0</v>
      </c>
      <c r="Z80" s="254">
        <v>0</v>
      </c>
      <c r="AA80" s="231"/>
    </row>
    <row r="81" spans="1:27" s="229" customFormat="1" ht="45">
      <c r="A81" s="251" t="s">
        <v>14</v>
      </c>
      <c r="B81" s="252" t="s">
        <v>394</v>
      </c>
      <c r="C81" s="253" t="s">
        <v>175</v>
      </c>
      <c r="D81" s="251" t="s">
        <v>16</v>
      </c>
      <c r="E81" s="251" t="s">
        <v>140</v>
      </c>
      <c r="F81" s="251" t="s">
        <v>132</v>
      </c>
      <c r="G81" s="251" t="s">
        <v>123</v>
      </c>
      <c r="H81" s="251"/>
      <c r="I81" s="251"/>
      <c r="J81" s="251"/>
      <c r="K81" s="251"/>
      <c r="L81" s="251" t="s">
        <v>116</v>
      </c>
      <c r="M81" s="251" t="s">
        <v>125</v>
      </c>
      <c r="N81" s="251" t="s">
        <v>118</v>
      </c>
      <c r="O81" s="252" t="s">
        <v>440</v>
      </c>
      <c r="P81" s="254">
        <v>21496193399</v>
      </c>
      <c r="Q81" s="254">
        <v>0</v>
      </c>
      <c r="R81" s="254">
        <v>0</v>
      </c>
      <c r="S81" s="254">
        <v>21496193399</v>
      </c>
      <c r="T81" s="254">
        <v>0</v>
      </c>
      <c r="U81" s="254">
        <v>6519366190</v>
      </c>
      <c r="V81" s="254">
        <v>14976827209</v>
      </c>
      <c r="W81" s="254">
        <v>1090712510</v>
      </c>
      <c r="X81" s="254">
        <v>92371000</v>
      </c>
      <c r="Y81" s="254">
        <v>92371000</v>
      </c>
      <c r="Z81" s="254">
        <v>72099000</v>
      </c>
      <c r="AA81" s="231"/>
    </row>
    <row r="82" spans="1:27" s="229" customFormat="1" ht="45">
      <c r="A82" s="251" t="s">
        <v>14</v>
      </c>
      <c r="B82" s="252" t="s">
        <v>394</v>
      </c>
      <c r="C82" s="253" t="s">
        <v>175</v>
      </c>
      <c r="D82" s="251" t="s">
        <v>16</v>
      </c>
      <c r="E82" s="251" t="s">
        <v>140</v>
      </c>
      <c r="F82" s="251" t="s">
        <v>132</v>
      </c>
      <c r="G82" s="251" t="s">
        <v>123</v>
      </c>
      <c r="H82" s="251"/>
      <c r="I82" s="251"/>
      <c r="J82" s="251"/>
      <c r="K82" s="251"/>
      <c r="L82" s="251" t="s">
        <v>116</v>
      </c>
      <c r="M82" s="251" t="s">
        <v>167</v>
      </c>
      <c r="N82" s="251" t="s">
        <v>118</v>
      </c>
      <c r="O82" s="252" t="s">
        <v>440</v>
      </c>
      <c r="P82" s="254">
        <v>4242000000</v>
      </c>
      <c r="Q82" s="254">
        <v>0</v>
      </c>
      <c r="R82" s="254">
        <v>0</v>
      </c>
      <c r="S82" s="254">
        <v>4242000000</v>
      </c>
      <c r="T82" s="254">
        <v>0</v>
      </c>
      <c r="U82" s="254">
        <v>0</v>
      </c>
      <c r="V82" s="254">
        <v>4242000000</v>
      </c>
      <c r="W82" s="254">
        <v>0</v>
      </c>
      <c r="X82" s="254">
        <v>0</v>
      </c>
      <c r="Y82" s="254">
        <v>0</v>
      </c>
      <c r="Z82" s="254">
        <v>0</v>
      </c>
      <c r="AA82" s="231"/>
    </row>
    <row r="83" spans="1:27" s="229" customFormat="1" ht="45">
      <c r="A83" s="251" t="s">
        <v>14</v>
      </c>
      <c r="B83" s="252" t="s">
        <v>394</v>
      </c>
      <c r="C83" s="253" t="s">
        <v>175</v>
      </c>
      <c r="D83" s="251" t="s">
        <v>16</v>
      </c>
      <c r="E83" s="251" t="s">
        <v>140</v>
      </c>
      <c r="F83" s="251" t="s">
        <v>132</v>
      </c>
      <c r="G83" s="251" t="s">
        <v>123</v>
      </c>
      <c r="H83" s="251"/>
      <c r="I83" s="251"/>
      <c r="J83" s="251"/>
      <c r="K83" s="251"/>
      <c r="L83" s="251" t="s">
        <v>174</v>
      </c>
      <c r="M83" s="251" t="s">
        <v>389</v>
      </c>
      <c r="N83" s="251" t="s">
        <v>118</v>
      </c>
      <c r="O83" s="252" t="s">
        <v>440</v>
      </c>
      <c r="P83" s="254">
        <v>6251000000</v>
      </c>
      <c r="Q83" s="254">
        <v>0</v>
      </c>
      <c r="R83" s="254">
        <v>0</v>
      </c>
      <c r="S83" s="254">
        <v>6251000000</v>
      </c>
      <c r="T83" s="254">
        <v>0</v>
      </c>
      <c r="U83" s="254">
        <v>3435665812</v>
      </c>
      <c r="V83" s="254">
        <v>2815334188</v>
      </c>
      <c r="W83" s="254">
        <v>409495000</v>
      </c>
      <c r="X83" s="254">
        <v>28620000</v>
      </c>
      <c r="Y83" s="254">
        <v>28620000</v>
      </c>
      <c r="Z83" s="254">
        <v>9540000</v>
      </c>
      <c r="AA83" s="231"/>
    </row>
    <row r="84" spans="1:27" s="229" customFormat="1" ht="56.25">
      <c r="A84" s="251" t="s">
        <v>14</v>
      </c>
      <c r="B84" s="252" t="s">
        <v>394</v>
      </c>
      <c r="C84" s="253" t="s">
        <v>156</v>
      </c>
      <c r="D84" s="251" t="s">
        <v>16</v>
      </c>
      <c r="E84" s="251" t="s">
        <v>157</v>
      </c>
      <c r="F84" s="251" t="s">
        <v>132</v>
      </c>
      <c r="G84" s="251" t="s">
        <v>115</v>
      </c>
      <c r="H84" s="251"/>
      <c r="I84" s="251"/>
      <c r="J84" s="251"/>
      <c r="K84" s="251"/>
      <c r="L84" s="251" t="s">
        <v>116</v>
      </c>
      <c r="M84" s="251" t="s">
        <v>125</v>
      </c>
      <c r="N84" s="251" t="s">
        <v>118</v>
      </c>
      <c r="O84" s="252" t="s">
        <v>176</v>
      </c>
      <c r="P84" s="254">
        <v>3486881236</v>
      </c>
      <c r="Q84" s="254">
        <v>0</v>
      </c>
      <c r="R84" s="254">
        <v>0</v>
      </c>
      <c r="S84" s="254">
        <v>3486881236</v>
      </c>
      <c r="T84" s="254">
        <v>0</v>
      </c>
      <c r="U84" s="254">
        <v>602684174</v>
      </c>
      <c r="V84" s="254">
        <v>2884197062</v>
      </c>
      <c r="W84" s="254">
        <v>409772810</v>
      </c>
      <c r="X84" s="254">
        <v>19905910</v>
      </c>
      <c r="Y84" s="254">
        <v>19905910</v>
      </c>
      <c r="Z84" s="254">
        <v>4395010</v>
      </c>
      <c r="AA84" s="231"/>
    </row>
    <row r="85" spans="1:27" s="229" customFormat="1" ht="45">
      <c r="A85" s="251" t="s">
        <v>15</v>
      </c>
      <c r="B85" s="252" t="s">
        <v>395</v>
      </c>
      <c r="C85" s="253" t="s">
        <v>293</v>
      </c>
      <c r="D85" s="251" t="s">
        <v>11</v>
      </c>
      <c r="E85" s="251" t="s">
        <v>313</v>
      </c>
      <c r="F85" s="251" t="s">
        <v>313</v>
      </c>
      <c r="G85" s="251" t="s">
        <v>307</v>
      </c>
      <c r="H85" s="251" t="s">
        <v>348</v>
      </c>
      <c r="I85" s="251"/>
      <c r="J85" s="251"/>
      <c r="K85" s="251"/>
      <c r="L85" s="251" t="s">
        <v>174</v>
      </c>
      <c r="M85" s="251" t="s">
        <v>389</v>
      </c>
      <c r="N85" s="251" t="s">
        <v>118</v>
      </c>
      <c r="O85" s="252" t="s">
        <v>386</v>
      </c>
      <c r="P85" s="254">
        <v>80619565000</v>
      </c>
      <c r="Q85" s="254">
        <v>0</v>
      </c>
      <c r="R85" s="254">
        <v>0</v>
      </c>
      <c r="S85" s="254">
        <v>80619565000</v>
      </c>
      <c r="T85" s="254">
        <v>0</v>
      </c>
      <c r="U85" s="254">
        <v>80619565000</v>
      </c>
      <c r="V85" s="254">
        <v>0</v>
      </c>
      <c r="W85" s="254">
        <v>80619565000</v>
      </c>
      <c r="X85" s="254">
        <v>80619565000</v>
      </c>
      <c r="Y85" s="254">
        <v>80619565000</v>
      </c>
      <c r="Z85" s="254">
        <v>0</v>
      </c>
      <c r="AA85" s="231"/>
    </row>
    <row r="86" spans="1:27" s="229" customFormat="1" ht="22.5">
      <c r="A86" s="251" t="s">
        <v>15</v>
      </c>
      <c r="B86" s="252" t="s">
        <v>395</v>
      </c>
      <c r="C86" s="253" t="s">
        <v>434</v>
      </c>
      <c r="D86" s="251" t="s">
        <v>11</v>
      </c>
      <c r="E86" s="251" t="s">
        <v>313</v>
      </c>
      <c r="F86" s="251" t="s">
        <v>117</v>
      </c>
      <c r="G86" s="251"/>
      <c r="H86" s="251"/>
      <c r="I86" s="251"/>
      <c r="J86" s="251"/>
      <c r="K86" s="251"/>
      <c r="L86" s="251" t="s">
        <v>174</v>
      </c>
      <c r="M86" s="251" t="s">
        <v>388</v>
      </c>
      <c r="N86" s="251" t="s">
        <v>118</v>
      </c>
      <c r="O86" s="252" t="s">
        <v>435</v>
      </c>
      <c r="P86" s="254">
        <v>500000000</v>
      </c>
      <c r="Q86" s="254">
        <v>0</v>
      </c>
      <c r="R86" s="254">
        <v>0</v>
      </c>
      <c r="S86" s="254">
        <v>500000000</v>
      </c>
      <c r="T86" s="254">
        <v>0</v>
      </c>
      <c r="U86" s="254">
        <v>0</v>
      </c>
      <c r="V86" s="254">
        <v>500000000</v>
      </c>
      <c r="W86" s="254">
        <v>0</v>
      </c>
      <c r="X86" s="254">
        <v>0</v>
      </c>
      <c r="Y86" s="254">
        <v>0</v>
      </c>
      <c r="Z86" s="254">
        <v>0</v>
      </c>
      <c r="AA86" s="231"/>
    </row>
    <row r="87" spans="1:27" s="229" customFormat="1" ht="22.5">
      <c r="A87" s="251" t="s">
        <v>15</v>
      </c>
      <c r="B87" s="252" t="s">
        <v>395</v>
      </c>
      <c r="C87" s="253" t="s">
        <v>294</v>
      </c>
      <c r="D87" s="251" t="s">
        <v>11</v>
      </c>
      <c r="E87" s="251" t="s">
        <v>332</v>
      </c>
      <c r="F87" s="251" t="s">
        <v>318</v>
      </c>
      <c r="G87" s="251" t="s">
        <v>307</v>
      </c>
      <c r="H87" s="251"/>
      <c r="I87" s="251"/>
      <c r="J87" s="251"/>
      <c r="K87" s="251"/>
      <c r="L87" s="251" t="s">
        <v>174</v>
      </c>
      <c r="M87" s="251" t="s">
        <v>388</v>
      </c>
      <c r="N87" s="251" t="s">
        <v>118</v>
      </c>
      <c r="O87" s="252" t="s">
        <v>334</v>
      </c>
      <c r="P87" s="254">
        <v>1392000000</v>
      </c>
      <c r="Q87" s="254">
        <v>0</v>
      </c>
      <c r="R87" s="254">
        <v>0</v>
      </c>
      <c r="S87" s="254">
        <v>1392000000</v>
      </c>
      <c r="T87" s="254">
        <v>0</v>
      </c>
      <c r="U87" s="254">
        <v>481009084</v>
      </c>
      <c r="V87" s="254">
        <v>910990916</v>
      </c>
      <c r="W87" s="254">
        <v>0</v>
      </c>
      <c r="X87" s="254">
        <v>0</v>
      </c>
      <c r="Y87" s="254">
        <v>0</v>
      </c>
      <c r="Z87" s="254">
        <v>0</v>
      </c>
      <c r="AA87" s="231"/>
    </row>
    <row r="88" spans="1:27" s="229" customFormat="1" ht="90">
      <c r="A88" s="251" t="s">
        <v>15</v>
      </c>
      <c r="B88" s="252" t="s">
        <v>395</v>
      </c>
      <c r="C88" s="253" t="s">
        <v>130</v>
      </c>
      <c r="D88" s="251" t="s">
        <v>16</v>
      </c>
      <c r="E88" s="251" t="s">
        <v>131</v>
      </c>
      <c r="F88" s="251" t="s">
        <v>132</v>
      </c>
      <c r="G88" s="251" t="s">
        <v>122</v>
      </c>
      <c r="H88" s="251"/>
      <c r="I88" s="251"/>
      <c r="J88" s="251"/>
      <c r="K88" s="251"/>
      <c r="L88" s="251" t="s">
        <v>116</v>
      </c>
      <c r="M88" s="251" t="s">
        <v>117</v>
      </c>
      <c r="N88" s="251" t="s">
        <v>118</v>
      </c>
      <c r="O88" s="252" t="s">
        <v>374</v>
      </c>
      <c r="P88" s="254">
        <v>369679862938</v>
      </c>
      <c r="Q88" s="254">
        <v>0</v>
      </c>
      <c r="R88" s="254">
        <v>0</v>
      </c>
      <c r="S88" s="254">
        <v>369679862938</v>
      </c>
      <c r="T88" s="254">
        <v>369679862938</v>
      </c>
      <c r="U88" s="254">
        <v>0</v>
      </c>
      <c r="V88" s="254">
        <v>0</v>
      </c>
      <c r="W88" s="254">
        <v>0</v>
      </c>
      <c r="X88" s="254">
        <v>0</v>
      </c>
      <c r="Y88" s="254">
        <v>0</v>
      </c>
      <c r="Z88" s="254">
        <v>0</v>
      </c>
      <c r="AA88" s="231"/>
    </row>
    <row r="89" spans="1:27" s="229" customFormat="1" ht="67.5">
      <c r="A89" s="251" t="s">
        <v>15</v>
      </c>
      <c r="B89" s="252" t="s">
        <v>395</v>
      </c>
      <c r="C89" s="253" t="s">
        <v>133</v>
      </c>
      <c r="D89" s="251" t="s">
        <v>16</v>
      </c>
      <c r="E89" s="251" t="s">
        <v>131</v>
      </c>
      <c r="F89" s="251" t="s">
        <v>132</v>
      </c>
      <c r="G89" s="251" t="s">
        <v>123</v>
      </c>
      <c r="H89" s="251" t="s">
        <v>84</v>
      </c>
      <c r="I89" s="251" t="s">
        <v>84</v>
      </c>
      <c r="J89" s="251" t="s">
        <v>84</v>
      </c>
      <c r="K89" s="251" t="s">
        <v>84</v>
      </c>
      <c r="L89" s="251" t="s">
        <v>174</v>
      </c>
      <c r="M89" s="251" t="s">
        <v>389</v>
      </c>
      <c r="N89" s="251" t="s">
        <v>118</v>
      </c>
      <c r="O89" s="252" t="s">
        <v>380</v>
      </c>
      <c r="P89" s="254">
        <v>29445464006</v>
      </c>
      <c r="Q89" s="254">
        <v>0</v>
      </c>
      <c r="R89" s="254">
        <v>0</v>
      </c>
      <c r="S89" s="254">
        <v>29445464006</v>
      </c>
      <c r="T89" s="254">
        <v>0</v>
      </c>
      <c r="U89" s="254">
        <v>23834374058</v>
      </c>
      <c r="V89" s="254">
        <v>5611089948</v>
      </c>
      <c r="W89" s="254">
        <v>22493118227</v>
      </c>
      <c r="X89" s="254">
        <v>855072243.41999996</v>
      </c>
      <c r="Y89" s="254">
        <v>808535093.41999996</v>
      </c>
      <c r="Z89" s="254">
        <v>579570354.41999996</v>
      </c>
      <c r="AA89" s="231"/>
    </row>
    <row r="90" spans="1:27" s="229" customFormat="1" ht="67.5">
      <c r="A90" s="251" t="s">
        <v>15</v>
      </c>
      <c r="B90" s="252" t="s">
        <v>395</v>
      </c>
      <c r="C90" s="253" t="s">
        <v>133</v>
      </c>
      <c r="D90" s="251" t="s">
        <v>16</v>
      </c>
      <c r="E90" s="251" t="s">
        <v>131</v>
      </c>
      <c r="F90" s="251" t="s">
        <v>132</v>
      </c>
      <c r="G90" s="251" t="s">
        <v>123</v>
      </c>
      <c r="H90" s="251" t="s">
        <v>84</v>
      </c>
      <c r="I90" s="251" t="s">
        <v>84</v>
      </c>
      <c r="J90" s="251" t="s">
        <v>84</v>
      </c>
      <c r="K90" s="251" t="s">
        <v>84</v>
      </c>
      <c r="L90" s="251" t="s">
        <v>174</v>
      </c>
      <c r="M90" s="251" t="s">
        <v>388</v>
      </c>
      <c r="N90" s="251" t="s">
        <v>118</v>
      </c>
      <c r="O90" s="252" t="s">
        <v>380</v>
      </c>
      <c r="P90" s="254">
        <v>43072307409</v>
      </c>
      <c r="Q90" s="254">
        <v>0</v>
      </c>
      <c r="R90" s="254">
        <v>0</v>
      </c>
      <c r="S90" s="254">
        <v>43072307409</v>
      </c>
      <c r="T90" s="254">
        <v>0</v>
      </c>
      <c r="U90" s="254">
        <v>42321958531</v>
      </c>
      <c r="V90" s="254">
        <v>750348878</v>
      </c>
      <c r="W90" s="254">
        <v>38632295206</v>
      </c>
      <c r="X90" s="254">
        <v>1125453193</v>
      </c>
      <c r="Y90" s="254">
        <v>1081204704</v>
      </c>
      <c r="Z90" s="254">
        <v>738318221</v>
      </c>
      <c r="AA90" s="231"/>
    </row>
    <row r="91" spans="1:27" s="229" customFormat="1" ht="67.5">
      <c r="A91" s="251" t="s">
        <v>15</v>
      </c>
      <c r="B91" s="252" t="s">
        <v>395</v>
      </c>
      <c r="C91" s="253" t="s">
        <v>178</v>
      </c>
      <c r="D91" s="251" t="s">
        <v>16</v>
      </c>
      <c r="E91" s="251" t="s">
        <v>136</v>
      </c>
      <c r="F91" s="251" t="s">
        <v>132</v>
      </c>
      <c r="G91" s="251" t="s">
        <v>129</v>
      </c>
      <c r="H91" s="251"/>
      <c r="I91" s="251"/>
      <c r="J91" s="251"/>
      <c r="K91" s="251"/>
      <c r="L91" s="251" t="s">
        <v>174</v>
      </c>
      <c r="M91" s="251" t="s">
        <v>389</v>
      </c>
      <c r="N91" s="251" t="s">
        <v>118</v>
      </c>
      <c r="O91" s="252" t="s">
        <v>171</v>
      </c>
      <c r="P91" s="254">
        <v>31502889003</v>
      </c>
      <c r="Q91" s="254">
        <v>0</v>
      </c>
      <c r="R91" s="254">
        <v>0</v>
      </c>
      <c r="S91" s="254">
        <v>31502889003</v>
      </c>
      <c r="T91" s="254">
        <v>0</v>
      </c>
      <c r="U91" s="254">
        <v>0</v>
      </c>
      <c r="V91" s="254">
        <v>31502889003</v>
      </c>
      <c r="W91" s="254">
        <v>0</v>
      </c>
      <c r="X91" s="254">
        <v>0</v>
      </c>
      <c r="Y91" s="254">
        <v>0</v>
      </c>
      <c r="Z91" s="254">
        <v>0</v>
      </c>
      <c r="AA91" s="231"/>
    </row>
    <row r="92" spans="1:27" s="229" customFormat="1" ht="67.5">
      <c r="A92" s="251" t="s">
        <v>15</v>
      </c>
      <c r="B92" s="252" t="s">
        <v>395</v>
      </c>
      <c r="C92" s="253" t="s">
        <v>178</v>
      </c>
      <c r="D92" s="251" t="s">
        <v>16</v>
      </c>
      <c r="E92" s="251" t="s">
        <v>136</v>
      </c>
      <c r="F92" s="251" t="s">
        <v>132</v>
      </c>
      <c r="G92" s="251" t="s">
        <v>129</v>
      </c>
      <c r="H92" s="251"/>
      <c r="I92" s="251"/>
      <c r="J92" s="251"/>
      <c r="K92" s="251"/>
      <c r="L92" s="251" t="s">
        <v>174</v>
      </c>
      <c r="M92" s="251" t="s">
        <v>388</v>
      </c>
      <c r="N92" s="251" t="s">
        <v>118</v>
      </c>
      <c r="O92" s="252" t="s">
        <v>171</v>
      </c>
      <c r="P92" s="254">
        <v>13626616515</v>
      </c>
      <c r="Q92" s="254">
        <v>0</v>
      </c>
      <c r="R92" s="254">
        <v>0</v>
      </c>
      <c r="S92" s="254">
        <v>13626616515</v>
      </c>
      <c r="T92" s="254">
        <v>0</v>
      </c>
      <c r="U92" s="254">
        <v>2236700818.25</v>
      </c>
      <c r="V92" s="254">
        <v>11389915696.75</v>
      </c>
      <c r="W92" s="254">
        <v>2153676418.25</v>
      </c>
      <c r="X92" s="254">
        <v>27389340</v>
      </c>
      <c r="Y92" s="254">
        <v>27389340</v>
      </c>
      <c r="Z92" s="254">
        <v>11453300</v>
      </c>
      <c r="AA92" s="231"/>
    </row>
    <row r="93" spans="1:27" s="229" customFormat="1" ht="56.25">
      <c r="A93" s="251" t="s">
        <v>15</v>
      </c>
      <c r="B93" s="252" t="s">
        <v>395</v>
      </c>
      <c r="C93" s="253" t="s">
        <v>198</v>
      </c>
      <c r="D93" s="251" t="s">
        <v>16</v>
      </c>
      <c r="E93" s="251" t="s">
        <v>136</v>
      </c>
      <c r="F93" s="251" t="s">
        <v>132</v>
      </c>
      <c r="G93" s="251" t="s">
        <v>144</v>
      </c>
      <c r="H93" s="251"/>
      <c r="I93" s="251"/>
      <c r="J93" s="251"/>
      <c r="K93" s="251"/>
      <c r="L93" s="251" t="s">
        <v>174</v>
      </c>
      <c r="M93" s="251" t="s">
        <v>388</v>
      </c>
      <c r="N93" s="251" t="s">
        <v>118</v>
      </c>
      <c r="O93" s="252" t="s">
        <v>349</v>
      </c>
      <c r="P93" s="254">
        <v>1369300000</v>
      </c>
      <c r="Q93" s="254">
        <v>0</v>
      </c>
      <c r="R93" s="254">
        <v>0</v>
      </c>
      <c r="S93" s="254">
        <v>1369300000</v>
      </c>
      <c r="T93" s="254">
        <v>0</v>
      </c>
      <c r="U93" s="254">
        <v>0</v>
      </c>
      <c r="V93" s="254">
        <v>1369300000</v>
      </c>
      <c r="W93" s="254">
        <v>0</v>
      </c>
      <c r="X93" s="254">
        <v>0</v>
      </c>
      <c r="Y93" s="254">
        <v>0</v>
      </c>
      <c r="Z93" s="254">
        <v>0</v>
      </c>
      <c r="AA93" s="231"/>
    </row>
    <row r="94" spans="1:27" s="229" customFormat="1" ht="90">
      <c r="A94" s="251" t="s">
        <v>15</v>
      </c>
      <c r="B94" s="252" t="s">
        <v>395</v>
      </c>
      <c r="C94" s="253" t="s">
        <v>285</v>
      </c>
      <c r="D94" s="251" t="s">
        <v>16</v>
      </c>
      <c r="E94" s="251" t="s">
        <v>136</v>
      </c>
      <c r="F94" s="251" t="s">
        <v>132</v>
      </c>
      <c r="G94" s="251" t="s">
        <v>128</v>
      </c>
      <c r="H94" s="251"/>
      <c r="I94" s="251"/>
      <c r="J94" s="251"/>
      <c r="K94" s="251"/>
      <c r="L94" s="251" t="s">
        <v>174</v>
      </c>
      <c r="M94" s="251" t="s">
        <v>389</v>
      </c>
      <c r="N94" s="251" t="s">
        <v>118</v>
      </c>
      <c r="O94" s="252" t="s">
        <v>350</v>
      </c>
      <c r="P94" s="254">
        <v>8093188300</v>
      </c>
      <c r="Q94" s="254">
        <v>0</v>
      </c>
      <c r="R94" s="254">
        <v>0</v>
      </c>
      <c r="S94" s="254">
        <v>8093188300</v>
      </c>
      <c r="T94" s="254">
        <v>0</v>
      </c>
      <c r="U94" s="254">
        <v>0</v>
      </c>
      <c r="V94" s="254">
        <v>8093188300</v>
      </c>
      <c r="W94" s="254">
        <v>0</v>
      </c>
      <c r="X94" s="254">
        <v>0</v>
      </c>
      <c r="Y94" s="254">
        <v>0</v>
      </c>
      <c r="Z94" s="254">
        <v>0</v>
      </c>
      <c r="AA94" s="231"/>
    </row>
    <row r="95" spans="1:27" s="229" customFormat="1" ht="90">
      <c r="A95" s="251" t="s">
        <v>15</v>
      </c>
      <c r="B95" s="252" t="s">
        <v>395</v>
      </c>
      <c r="C95" s="253" t="s">
        <v>285</v>
      </c>
      <c r="D95" s="251" t="s">
        <v>16</v>
      </c>
      <c r="E95" s="251" t="s">
        <v>136</v>
      </c>
      <c r="F95" s="251" t="s">
        <v>132</v>
      </c>
      <c r="G95" s="251" t="s">
        <v>128</v>
      </c>
      <c r="H95" s="251"/>
      <c r="I95" s="251"/>
      <c r="J95" s="251"/>
      <c r="K95" s="251"/>
      <c r="L95" s="251" t="s">
        <v>174</v>
      </c>
      <c r="M95" s="251" t="s">
        <v>388</v>
      </c>
      <c r="N95" s="251" t="s">
        <v>118</v>
      </c>
      <c r="O95" s="252" t="s">
        <v>350</v>
      </c>
      <c r="P95" s="254">
        <v>7687106182</v>
      </c>
      <c r="Q95" s="254">
        <v>0</v>
      </c>
      <c r="R95" s="254">
        <v>0</v>
      </c>
      <c r="S95" s="254">
        <v>7687106182</v>
      </c>
      <c r="T95" s="254">
        <v>0</v>
      </c>
      <c r="U95" s="254">
        <v>730161669</v>
      </c>
      <c r="V95" s="254">
        <v>6956944513</v>
      </c>
      <c r="W95" s="254">
        <v>484071770</v>
      </c>
      <c r="X95" s="254">
        <v>8399996</v>
      </c>
      <c r="Y95" s="254">
        <v>8399996</v>
      </c>
      <c r="Z95" s="254">
        <v>8399996</v>
      </c>
      <c r="AA95" s="231"/>
    </row>
    <row r="96" spans="1:27" s="229" customFormat="1" ht="56.25">
      <c r="A96" s="251" t="s">
        <v>15</v>
      </c>
      <c r="B96" s="252" t="s">
        <v>395</v>
      </c>
      <c r="C96" s="253" t="s">
        <v>289</v>
      </c>
      <c r="D96" s="251" t="s">
        <v>16</v>
      </c>
      <c r="E96" s="251" t="s">
        <v>136</v>
      </c>
      <c r="F96" s="251" t="s">
        <v>132</v>
      </c>
      <c r="G96" s="251" t="s">
        <v>121</v>
      </c>
      <c r="H96" s="251"/>
      <c r="I96" s="251"/>
      <c r="J96" s="251"/>
      <c r="K96" s="251"/>
      <c r="L96" s="251" t="s">
        <v>174</v>
      </c>
      <c r="M96" s="251" t="s">
        <v>389</v>
      </c>
      <c r="N96" s="251" t="s">
        <v>118</v>
      </c>
      <c r="O96" s="252" t="s">
        <v>381</v>
      </c>
      <c r="P96" s="254">
        <v>150000000</v>
      </c>
      <c r="Q96" s="254">
        <v>0</v>
      </c>
      <c r="R96" s="254">
        <v>0</v>
      </c>
      <c r="S96" s="254">
        <v>150000000</v>
      </c>
      <c r="T96" s="254">
        <v>0</v>
      </c>
      <c r="U96" s="254">
        <v>0</v>
      </c>
      <c r="V96" s="254">
        <v>150000000</v>
      </c>
      <c r="W96" s="254">
        <v>0</v>
      </c>
      <c r="X96" s="254">
        <v>0</v>
      </c>
      <c r="Y96" s="254">
        <v>0</v>
      </c>
      <c r="Z96" s="254">
        <v>0</v>
      </c>
      <c r="AA96" s="231"/>
    </row>
    <row r="97" spans="1:27" s="229" customFormat="1" ht="67.5">
      <c r="A97" s="251" t="s">
        <v>15</v>
      </c>
      <c r="B97" s="252" t="s">
        <v>395</v>
      </c>
      <c r="C97" s="253" t="s">
        <v>378</v>
      </c>
      <c r="D97" s="251" t="s">
        <v>16</v>
      </c>
      <c r="E97" s="251" t="s">
        <v>157</v>
      </c>
      <c r="F97" s="251" t="s">
        <v>132</v>
      </c>
      <c r="G97" s="251" t="s">
        <v>129</v>
      </c>
      <c r="H97" s="251" t="s">
        <v>84</v>
      </c>
      <c r="I97" s="251" t="s">
        <v>84</v>
      </c>
      <c r="J97" s="251" t="s">
        <v>84</v>
      </c>
      <c r="K97" s="251" t="s">
        <v>84</v>
      </c>
      <c r="L97" s="251" t="s">
        <v>174</v>
      </c>
      <c r="M97" s="251" t="s">
        <v>389</v>
      </c>
      <c r="N97" s="251" t="s">
        <v>118</v>
      </c>
      <c r="O97" s="252" t="s">
        <v>379</v>
      </c>
      <c r="P97" s="254">
        <v>27579330098</v>
      </c>
      <c r="Q97" s="254">
        <v>0</v>
      </c>
      <c r="R97" s="254">
        <v>0</v>
      </c>
      <c r="S97" s="254">
        <v>27579330098</v>
      </c>
      <c r="T97" s="254">
        <v>0</v>
      </c>
      <c r="U97" s="254">
        <v>18403102140</v>
      </c>
      <c r="V97" s="254">
        <v>9176227958</v>
      </c>
      <c r="W97" s="254">
        <v>7561691986</v>
      </c>
      <c r="X97" s="254">
        <v>161206538</v>
      </c>
      <c r="Y97" s="254">
        <v>142216424</v>
      </c>
      <c r="Z97" s="254">
        <v>126257366</v>
      </c>
      <c r="AA97" s="231"/>
    </row>
    <row r="98" spans="1:27" s="229" customFormat="1" ht="33.75">
      <c r="A98" s="251" t="s">
        <v>78</v>
      </c>
      <c r="B98" s="252" t="s">
        <v>396</v>
      </c>
      <c r="C98" s="253" t="s">
        <v>306</v>
      </c>
      <c r="D98" s="251" t="s">
        <v>11</v>
      </c>
      <c r="E98" s="251" t="s">
        <v>307</v>
      </c>
      <c r="F98" s="251" t="s">
        <v>307</v>
      </c>
      <c r="G98" s="251" t="s">
        <v>307</v>
      </c>
      <c r="H98" s="251"/>
      <c r="I98" s="251"/>
      <c r="J98" s="251"/>
      <c r="K98" s="251"/>
      <c r="L98" s="251" t="s">
        <v>116</v>
      </c>
      <c r="M98" s="251" t="s">
        <v>117</v>
      </c>
      <c r="N98" s="251" t="s">
        <v>118</v>
      </c>
      <c r="O98" s="252" t="s">
        <v>308</v>
      </c>
      <c r="P98" s="254">
        <v>1517300000</v>
      </c>
      <c r="Q98" s="254">
        <v>0</v>
      </c>
      <c r="R98" s="254">
        <v>0</v>
      </c>
      <c r="S98" s="254">
        <v>1517300000</v>
      </c>
      <c r="T98" s="254">
        <v>0</v>
      </c>
      <c r="U98" s="254">
        <v>124798724</v>
      </c>
      <c r="V98" s="254">
        <v>1392501276</v>
      </c>
      <c r="W98" s="254">
        <v>124798724</v>
      </c>
      <c r="X98" s="254">
        <v>124798724</v>
      </c>
      <c r="Y98" s="254">
        <v>124798724</v>
      </c>
      <c r="Z98" s="254">
        <v>124798724</v>
      </c>
      <c r="AA98" s="231"/>
    </row>
    <row r="99" spans="1:27" s="229" customFormat="1" ht="33.75">
      <c r="A99" s="251" t="s">
        <v>78</v>
      </c>
      <c r="B99" s="252" t="s">
        <v>396</v>
      </c>
      <c r="C99" s="253" t="s">
        <v>309</v>
      </c>
      <c r="D99" s="251" t="s">
        <v>11</v>
      </c>
      <c r="E99" s="251" t="s">
        <v>307</v>
      </c>
      <c r="F99" s="251" t="s">
        <v>307</v>
      </c>
      <c r="G99" s="251" t="s">
        <v>310</v>
      </c>
      <c r="H99" s="251"/>
      <c r="I99" s="251"/>
      <c r="J99" s="251"/>
      <c r="K99" s="251"/>
      <c r="L99" s="251" t="s">
        <v>116</v>
      </c>
      <c r="M99" s="251" t="s">
        <v>117</v>
      </c>
      <c r="N99" s="251" t="s">
        <v>118</v>
      </c>
      <c r="O99" s="252" t="s">
        <v>311</v>
      </c>
      <c r="P99" s="254">
        <v>570800000</v>
      </c>
      <c r="Q99" s="254">
        <v>0</v>
      </c>
      <c r="R99" s="254">
        <v>0</v>
      </c>
      <c r="S99" s="254">
        <v>570800000</v>
      </c>
      <c r="T99" s="254">
        <v>0</v>
      </c>
      <c r="U99" s="254">
        <v>50011012</v>
      </c>
      <c r="V99" s="254">
        <v>520788988</v>
      </c>
      <c r="W99" s="254">
        <v>50011012</v>
      </c>
      <c r="X99" s="254">
        <v>50011012</v>
      </c>
      <c r="Y99" s="254">
        <v>50011012</v>
      </c>
      <c r="Z99" s="254">
        <v>50011012</v>
      </c>
      <c r="AA99" s="231"/>
    </row>
    <row r="100" spans="1:27" s="229" customFormat="1" ht="33.75">
      <c r="A100" s="251" t="s">
        <v>78</v>
      </c>
      <c r="B100" s="252" t="s">
        <v>396</v>
      </c>
      <c r="C100" s="253" t="s">
        <v>312</v>
      </c>
      <c r="D100" s="251" t="s">
        <v>11</v>
      </c>
      <c r="E100" s="251" t="s">
        <v>307</v>
      </c>
      <c r="F100" s="251" t="s">
        <v>307</v>
      </c>
      <c r="G100" s="251" t="s">
        <v>313</v>
      </c>
      <c r="H100" s="251"/>
      <c r="I100" s="251"/>
      <c r="J100" s="251"/>
      <c r="K100" s="251"/>
      <c r="L100" s="251" t="s">
        <v>116</v>
      </c>
      <c r="M100" s="251" t="s">
        <v>117</v>
      </c>
      <c r="N100" s="251" t="s">
        <v>118</v>
      </c>
      <c r="O100" s="252" t="s">
        <v>314</v>
      </c>
      <c r="P100" s="254">
        <v>256800000</v>
      </c>
      <c r="Q100" s="254">
        <v>0</v>
      </c>
      <c r="R100" s="254">
        <v>0</v>
      </c>
      <c r="S100" s="254">
        <v>256800000</v>
      </c>
      <c r="T100" s="254">
        <v>0</v>
      </c>
      <c r="U100" s="254">
        <v>23595849</v>
      </c>
      <c r="V100" s="254">
        <v>233204151</v>
      </c>
      <c r="W100" s="254">
        <v>23595849</v>
      </c>
      <c r="X100" s="254">
        <v>23595849</v>
      </c>
      <c r="Y100" s="254">
        <v>23595849</v>
      </c>
      <c r="Z100" s="254">
        <v>23595849</v>
      </c>
      <c r="AA100" s="231"/>
    </row>
    <row r="101" spans="1:27" s="229" customFormat="1" ht="33.75">
      <c r="A101" s="251" t="s">
        <v>78</v>
      </c>
      <c r="B101" s="252" t="s">
        <v>396</v>
      </c>
      <c r="C101" s="253" t="s">
        <v>432</v>
      </c>
      <c r="D101" s="251" t="s">
        <v>11</v>
      </c>
      <c r="E101" s="251" t="s">
        <v>310</v>
      </c>
      <c r="F101" s="251"/>
      <c r="G101" s="251"/>
      <c r="H101" s="251"/>
      <c r="I101" s="251"/>
      <c r="J101" s="251"/>
      <c r="K101" s="251"/>
      <c r="L101" s="251" t="s">
        <v>116</v>
      </c>
      <c r="M101" s="251" t="s">
        <v>117</v>
      </c>
      <c r="N101" s="251" t="s">
        <v>118</v>
      </c>
      <c r="O101" s="252" t="s">
        <v>433</v>
      </c>
      <c r="P101" s="254">
        <v>682100000</v>
      </c>
      <c r="Q101" s="254">
        <v>0</v>
      </c>
      <c r="R101" s="254">
        <v>0</v>
      </c>
      <c r="S101" s="254">
        <v>682100000</v>
      </c>
      <c r="T101" s="254">
        <v>0</v>
      </c>
      <c r="U101" s="254">
        <v>282085160</v>
      </c>
      <c r="V101" s="254">
        <v>400014840</v>
      </c>
      <c r="W101" s="254">
        <v>207689448</v>
      </c>
      <c r="X101" s="254">
        <v>136880000</v>
      </c>
      <c r="Y101" s="254">
        <v>136880000</v>
      </c>
      <c r="Z101" s="254">
        <v>136880000</v>
      </c>
      <c r="AA101" s="231"/>
    </row>
    <row r="102" spans="1:27" s="229" customFormat="1" ht="33.75">
      <c r="A102" s="251" t="s">
        <v>78</v>
      </c>
      <c r="B102" s="252" t="s">
        <v>396</v>
      </c>
      <c r="C102" s="253" t="s">
        <v>327</v>
      </c>
      <c r="D102" s="251" t="s">
        <v>11</v>
      </c>
      <c r="E102" s="251" t="s">
        <v>313</v>
      </c>
      <c r="F102" s="251" t="s">
        <v>318</v>
      </c>
      <c r="G102" s="251" t="s">
        <v>310</v>
      </c>
      <c r="H102" s="251" t="s">
        <v>328</v>
      </c>
      <c r="I102" s="251"/>
      <c r="J102" s="251"/>
      <c r="K102" s="251"/>
      <c r="L102" s="251" t="s">
        <v>116</v>
      </c>
      <c r="M102" s="251" t="s">
        <v>117</v>
      </c>
      <c r="N102" s="251" t="s">
        <v>118</v>
      </c>
      <c r="O102" s="252" t="s">
        <v>329</v>
      </c>
      <c r="P102" s="254">
        <v>0</v>
      </c>
      <c r="Q102" s="254">
        <v>0</v>
      </c>
      <c r="R102" s="254">
        <v>0</v>
      </c>
      <c r="S102" s="254">
        <v>0</v>
      </c>
      <c r="T102" s="254">
        <v>0</v>
      </c>
      <c r="U102" s="254">
        <v>0</v>
      </c>
      <c r="V102" s="254">
        <v>0</v>
      </c>
      <c r="W102" s="254">
        <v>0</v>
      </c>
      <c r="X102" s="254">
        <v>0</v>
      </c>
      <c r="Y102" s="254">
        <v>0</v>
      </c>
      <c r="Z102" s="254">
        <v>0</v>
      </c>
      <c r="AA102" s="231"/>
    </row>
    <row r="103" spans="1:27" s="229" customFormat="1" ht="33.75">
      <c r="A103" s="251" t="s">
        <v>78</v>
      </c>
      <c r="B103" s="252" t="s">
        <v>396</v>
      </c>
      <c r="C103" s="253" t="s">
        <v>330</v>
      </c>
      <c r="D103" s="251" t="s">
        <v>11</v>
      </c>
      <c r="E103" s="251" t="s">
        <v>313</v>
      </c>
      <c r="F103" s="251" t="s">
        <v>318</v>
      </c>
      <c r="G103" s="251" t="s">
        <v>310</v>
      </c>
      <c r="H103" s="251" t="s">
        <v>331</v>
      </c>
      <c r="I103" s="251"/>
      <c r="J103" s="251"/>
      <c r="K103" s="251"/>
      <c r="L103" s="251" t="s">
        <v>116</v>
      </c>
      <c r="M103" s="251" t="s">
        <v>117</v>
      </c>
      <c r="N103" s="251" t="s">
        <v>118</v>
      </c>
      <c r="O103" s="252" t="s">
        <v>352</v>
      </c>
      <c r="P103" s="254">
        <v>12400000</v>
      </c>
      <c r="Q103" s="254">
        <v>0</v>
      </c>
      <c r="R103" s="254">
        <v>0</v>
      </c>
      <c r="S103" s="254">
        <v>12400000</v>
      </c>
      <c r="T103" s="254">
        <v>0</v>
      </c>
      <c r="U103" s="254">
        <v>0</v>
      </c>
      <c r="V103" s="254">
        <v>12400000</v>
      </c>
      <c r="W103" s="254">
        <v>0</v>
      </c>
      <c r="X103" s="254">
        <v>0</v>
      </c>
      <c r="Y103" s="254">
        <v>0</v>
      </c>
      <c r="Z103" s="254">
        <v>0</v>
      </c>
      <c r="AA103" s="231"/>
    </row>
    <row r="104" spans="1:27" s="229" customFormat="1" ht="33.75">
      <c r="A104" s="251" t="s">
        <v>78</v>
      </c>
      <c r="B104" s="252" t="s">
        <v>396</v>
      </c>
      <c r="C104" s="253" t="s">
        <v>298</v>
      </c>
      <c r="D104" s="251" t="s">
        <v>11</v>
      </c>
      <c r="E104" s="251" t="s">
        <v>332</v>
      </c>
      <c r="F104" s="251" t="s">
        <v>307</v>
      </c>
      <c r="G104" s="251"/>
      <c r="H104" s="251"/>
      <c r="I104" s="251"/>
      <c r="J104" s="251"/>
      <c r="K104" s="251"/>
      <c r="L104" s="251" t="s">
        <v>116</v>
      </c>
      <c r="M104" s="251" t="s">
        <v>117</v>
      </c>
      <c r="N104" s="251" t="s">
        <v>118</v>
      </c>
      <c r="O104" s="252" t="s">
        <v>333</v>
      </c>
      <c r="P104" s="254">
        <v>252500000</v>
      </c>
      <c r="Q104" s="254">
        <v>0</v>
      </c>
      <c r="R104" s="254">
        <v>0</v>
      </c>
      <c r="S104" s="254">
        <v>252500000</v>
      </c>
      <c r="T104" s="254">
        <v>0</v>
      </c>
      <c r="U104" s="254">
        <v>32233120</v>
      </c>
      <c r="V104" s="254">
        <v>220266880</v>
      </c>
      <c r="W104" s="254">
        <v>5937680</v>
      </c>
      <c r="X104" s="254">
        <v>5937680</v>
      </c>
      <c r="Y104" s="254">
        <v>5937680</v>
      </c>
      <c r="Z104" s="254">
        <v>0</v>
      </c>
      <c r="AA104" s="231"/>
    </row>
    <row r="105" spans="1:27" s="229" customFormat="1" ht="33.75">
      <c r="A105" s="251" t="s">
        <v>78</v>
      </c>
      <c r="B105" s="252" t="s">
        <v>396</v>
      </c>
      <c r="C105" s="253" t="s">
        <v>294</v>
      </c>
      <c r="D105" s="251" t="s">
        <v>11</v>
      </c>
      <c r="E105" s="251" t="s">
        <v>332</v>
      </c>
      <c r="F105" s="251" t="s">
        <v>318</v>
      </c>
      <c r="G105" s="251" t="s">
        <v>307</v>
      </c>
      <c r="H105" s="251"/>
      <c r="I105" s="251"/>
      <c r="J105" s="251"/>
      <c r="K105" s="251"/>
      <c r="L105" s="251" t="s">
        <v>116</v>
      </c>
      <c r="M105" s="251" t="s">
        <v>125</v>
      </c>
      <c r="N105" s="251" t="s">
        <v>126</v>
      </c>
      <c r="O105" s="252" t="s">
        <v>334</v>
      </c>
      <c r="P105" s="254">
        <v>8500000</v>
      </c>
      <c r="Q105" s="254">
        <v>0</v>
      </c>
      <c r="R105" s="254">
        <v>0</v>
      </c>
      <c r="S105" s="254">
        <v>8500000</v>
      </c>
      <c r="T105" s="254">
        <v>0</v>
      </c>
      <c r="U105" s="254">
        <v>0</v>
      </c>
      <c r="V105" s="254">
        <v>8500000</v>
      </c>
      <c r="W105" s="254">
        <v>0</v>
      </c>
      <c r="X105" s="254">
        <v>0</v>
      </c>
      <c r="Y105" s="254">
        <v>0</v>
      </c>
      <c r="Z105" s="254">
        <v>0</v>
      </c>
      <c r="AA105" s="231"/>
    </row>
    <row r="106" spans="1:27" s="229" customFormat="1" ht="33.75">
      <c r="A106" s="251" t="s">
        <v>78</v>
      </c>
      <c r="B106" s="252" t="s">
        <v>396</v>
      </c>
      <c r="C106" s="253" t="s">
        <v>436</v>
      </c>
      <c r="D106" s="251" t="s">
        <v>430</v>
      </c>
      <c r="E106" s="251" t="s">
        <v>117</v>
      </c>
      <c r="F106" s="251" t="s">
        <v>318</v>
      </c>
      <c r="G106" s="251" t="s">
        <v>307</v>
      </c>
      <c r="H106" s="251"/>
      <c r="I106" s="251"/>
      <c r="J106" s="251"/>
      <c r="K106" s="251"/>
      <c r="L106" s="251" t="s">
        <v>116</v>
      </c>
      <c r="M106" s="251" t="s">
        <v>125</v>
      </c>
      <c r="N106" s="251" t="s">
        <v>118</v>
      </c>
      <c r="O106" s="252" t="s">
        <v>437</v>
      </c>
      <c r="P106" s="254">
        <v>1418589654</v>
      </c>
      <c r="Q106" s="254">
        <v>0</v>
      </c>
      <c r="R106" s="254">
        <v>0</v>
      </c>
      <c r="S106" s="254">
        <v>1418589654</v>
      </c>
      <c r="T106" s="254">
        <v>0</v>
      </c>
      <c r="U106" s="254">
        <v>0</v>
      </c>
      <c r="V106" s="254">
        <v>1418589654</v>
      </c>
      <c r="W106" s="254">
        <v>0</v>
      </c>
      <c r="X106" s="254">
        <v>0</v>
      </c>
      <c r="Y106" s="254">
        <v>0</v>
      </c>
      <c r="Z106" s="254">
        <v>0</v>
      </c>
      <c r="AA106" s="231"/>
    </row>
    <row r="107" spans="1:27" s="229" customFormat="1" ht="22.5">
      <c r="A107" s="251" t="s">
        <v>76</v>
      </c>
      <c r="B107" s="252" t="s">
        <v>397</v>
      </c>
      <c r="C107" s="253" t="s">
        <v>306</v>
      </c>
      <c r="D107" s="251" t="s">
        <v>11</v>
      </c>
      <c r="E107" s="251" t="s">
        <v>307</v>
      </c>
      <c r="F107" s="251" t="s">
        <v>307</v>
      </c>
      <c r="G107" s="251" t="s">
        <v>307</v>
      </c>
      <c r="H107" s="251"/>
      <c r="I107" s="251"/>
      <c r="J107" s="251"/>
      <c r="K107" s="251"/>
      <c r="L107" s="251" t="s">
        <v>116</v>
      </c>
      <c r="M107" s="251" t="s">
        <v>117</v>
      </c>
      <c r="N107" s="251" t="s">
        <v>118</v>
      </c>
      <c r="O107" s="252" t="s">
        <v>308</v>
      </c>
      <c r="P107" s="254">
        <v>3882000000</v>
      </c>
      <c r="Q107" s="254">
        <v>0</v>
      </c>
      <c r="R107" s="254">
        <v>0</v>
      </c>
      <c r="S107" s="254">
        <v>3882000000</v>
      </c>
      <c r="T107" s="254">
        <v>0</v>
      </c>
      <c r="U107" s="254">
        <v>316853854</v>
      </c>
      <c r="V107" s="254">
        <v>3565146146</v>
      </c>
      <c r="W107" s="254">
        <v>316853854</v>
      </c>
      <c r="X107" s="254">
        <v>316853854</v>
      </c>
      <c r="Y107" s="254">
        <v>316853854</v>
      </c>
      <c r="Z107" s="254">
        <v>129555818</v>
      </c>
      <c r="AA107" s="231"/>
    </row>
    <row r="108" spans="1:27" s="229" customFormat="1" ht="22.5">
      <c r="A108" s="251" t="s">
        <v>76</v>
      </c>
      <c r="B108" s="252" t="s">
        <v>397</v>
      </c>
      <c r="C108" s="253" t="s">
        <v>309</v>
      </c>
      <c r="D108" s="251" t="s">
        <v>11</v>
      </c>
      <c r="E108" s="251" t="s">
        <v>307</v>
      </c>
      <c r="F108" s="251" t="s">
        <v>307</v>
      </c>
      <c r="G108" s="251" t="s">
        <v>310</v>
      </c>
      <c r="H108" s="251"/>
      <c r="I108" s="251"/>
      <c r="J108" s="251"/>
      <c r="K108" s="251"/>
      <c r="L108" s="251" t="s">
        <v>116</v>
      </c>
      <c r="M108" s="251" t="s">
        <v>117</v>
      </c>
      <c r="N108" s="251" t="s">
        <v>118</v>
      </c>
      <c r="O108" s="252" t="s">
        <v>311</v>
      </c>
      <c r="P108" s="254">
        <v>975000000</v>
      </c>
      <c r="Q108" s="254">
        <v>0</v>
      </c>
      <c r="R108" s="254">
        <v>0</v>
      </c>
      <c r="S108" s="254">
        <v>975000000</v>
      </c>
      <c r="T108" s="254">
        <v>0</v>
      </c>
      <c r="U108" s="254">
        <v>118663600</v>
      </c>
      <c r="V108" s="254">
        <v>856336400</v>
      </c>
      <c r="W108" s="254">
        <v>118663600</v>
      </c>
      <c r="X108" s="254">
        <v>118663600</v>
      </c>
      <c r="Y108" s="254">
        <v>118663600</v>
      </c>
      <c r="Z108" s="254">
        <v>58205314</v>
      </c>
      <c r="AA108" s="231"/>
    </row>
    <row r="109" spans="1:27" s="229" customFormat="1" ht="33.75">
      <c r="A109" s="251" t="s">
        <v>76</v>
      </c>
      <c r="B109" s="252" t="s">
        <v>397</v>
      </c>
      <c r="C109" s="253" t="s">
        <v>312</v>
      </c>
      <c r="D109" s="251" t="s">
        <v>11</v>
      </c>
      <c r="E109" s="251" t="s">
        <v>307</v>
      </c>
      <c r="F109" s="251" t="s">
        <v>307</v>
      </c>
      <c r="G109" s="251" t="s">
        <v>313</v>
      </c>
      <c r="H109" s="251"/>
      <c r="I109" s="251"/>
      <c r="J109" s="251"/>
      <c r="K109" s="251"/>
      <c r="L109" s="251" t="s">
        <v>116</v>
      </c>
      <c r="M109" s="251" t="s">
        <v>117</v>
      </c>
      <c r="N109" s="251" t="s">
        <v>118</v>
      </c>
      <c r="O109" s="252" t="s">
        <v>314</v>
      </c>
      <c r="P109" s="254">
        <v>109000000</v>
      </c>
      <c r="Q109" s="254">
        <v>0</v>
      </c>
      <c r="R109" s="254">
        <v>0</v>
      </c>
      <c r="S109" s="254">
        <v>109000000</v>
      </c>
      <c r="T109" s="254">
        <v>0</v>
      </c>
      <c r="U109" s="254">
        <v>12463991</v>
      </c>
      <c r="V109" s="254">
        <v>96536009</v>
      </c>
      <c r="W109" s="254">
        <v>12463991</v>
      </c>
      <c r="X109" s="254">
        <v>12463991</v>
      </c>
      <c r="Y109" s="254">
        <v>12463991</v>
      </c>
      <c r="Z109" s="254">
        <v>2238868</v>
      </c>
      <c r="AA109" s="231"/>
    </row>
    <row r="110" spans="1:27" s="229" customFormat="1" ht="22.5">
      <c r="A110" s="251" t="s">
        <v>76</v>
      </c>
      <c r="B110" s="252" t="s">
        <v>397</v>
      </c>
      <c r="C110" s="253" t="s">
        <v>432</v>
      </c>
      <c r="D110" s="251" t="s">
        <v>11</v>
      </c>
      <c r="E110" s="251" t="s">
        <v>310</v>
      </c>
      <c r="F110" s="251"/>
      <c r="G110" s="251"/>
      <c r="H110" s="251"/>
      <c r="I110" s="251"/>
      <c r="J110" s="251"/>
      <c r="K110" s="251"/>
      <c r="L110" s="251" t="s">
        <v>116</v>
      </c>
      <c r="M110" s="251" t="s">
        <v>117</v>
      </c>
      <c r="N110" s="251" t="s">
        <v>118</v>
      </c>
      <c r="O110" s="252" t="s">
        <v>433</v>
      </c>
      <c r="P110" s="254">
        <v>226000000</v>
      </c>
      <c r="Q110" s="254">
        <v>0</v>
      </c>
      <c r="R110" s="254">
        <v>0</v>
      </c>
      <c r="S110" s="254">
        <v>226000000</v>
      </c>
      <c r="T110" s="254">
        <v>0</v>
      </c>
      <c r="U110" s="254">
        <v>225999998</v>
      </c>
      <c r="V110" s="254">
        <v>2</v>
      </c>
      <c r="W110" s="254">
        <v>37668822</v>
      </c>
      <c r="X110" s="254">
        <v>37668822</v>
      </c>
      <c r="Y110" s="254">
        <v>37668822</v>
      </c>
      <c r="Z110" s="254">
        <v>27523498</v>
      </c>
      <c r="AA110" s="231"/>
    </row>
    <row r="111" spans="1:27" s="229" customFormat="1" ht="22.5">
      <c r="A111" s="251" t="s">
        <v>76</v>
      </c>
      <c r="B111" s="252" t="s">
        <v>397</v>
      </c>
      <c r="C111" s="253" t="s">
        <v>321</v>
      </c>
      <c r="D111" s="251" t="s">
        <v>11</v>
      </c>
      <c r="E111" s="251" t="s">
        <v>313</v>
      </c>
      <c r="F111" s="251" t="s">
        <v>318</v>
      </c>
      <c r="G111" s="251" t="s">
        <v>310</v>
      </c>
      <c r="H111" s="251" t="s">
        <v>322</v>
      </c>
      <c r="I111" s="251"/>
      <c r="J111" s="251"/>
      <c r="K111" s="251"/>
      <c r="L111" s="251" t="s">
        <v>116</v>
      </c>
      <c r="M111" s="251" t="s">
        <v>117</v>
      </c>
      <c r="N111" s="251" t="s">
        <v>118</v>
      </c>
      <c r="O111" s="252" t="s">
        <v>323</v>
      </c>
      <c r="P111" s="254">
        <v>326000000</v>
      </c>
      <c r="Q111" s="254">
        <v>0</v>
      </c>
      <c r="R111" s="254">
        <v>0</v>
      </c>
      <c r="S111" s="254">
        <v>326000000</v>
      </c>
      <c r="T111" s="254">
        <v>0</v>
      </c>
      <c r="U111" s="254">
        <v>18478550</v>
      </c>
      <c r="V111" s="254">
        <v>307521450</v>
      </c>
      <c r="W111" s="254">
        <v>18478550</v>
      </c>
      <c r="X111" s="254">
        <v>18478550</v>
      </c>
      <c r="Y111" s="254">
        <v>18478550</v>
      </c>
      <c r="Z111" s="254">
        <v>18478550</v>
      </c>
      <c r="AA111" s="231"/>
    </row>
    <row r="112" spans="1:27" s="229" customFormat="1" ht="22.5">
      <c r="A112" s="251" t="s">
        <v>76</v>
      </c>
      <c r="B112" s="252" t="s">
        <v>397</v>
      </c>
      <c r="C112" s="253" t="s">
        <v>298</v>
      </c>
      <c r="D112" s="251" t="s">
        <v>11</v>
      </c>
      <c r="E112" s="251" t="s">
        <v>332</v>
      </c>
      <c r="F112" s="251" t="s">
        <v>307</v>
      </c>
      <c r="G112" s="251"/>
      <c r="H112" s="251"/>
      <c r="I112" s="251"/>
      <c r="J112" s="251"/>
      <c r="K112" s="251"/>
      <c r="L112" s="251" t="s">
        <v>116</v>
      </c>
      <c r="M112" s="251" t="s">
        <v>117</v>
      </c>
      <c r="N112" s="251" t="s">
        <v>118</v>
      </c>
      <c r="O112" s="252" t="s">
        <v>333</v>
      </c>
      <c r="P112" s="254">
        <v>3000000</v>
      </c>
      <c r="Q112" s="254">
        <v>0</v>
      </c>
      <c r="R112" s="254">
        <v>0</v>
      </c>
      <c r="S112" s="254">
        <v>3000000</v>
      </c>
      <c r="T112" s="254">
        <v>0</v>
      </c>
      <c r="U112" s="254">
        <v>0</v>
      </c>
      <c r="V112" s="254">
        <v>3000000</v>
      </c>
      <c r="W112" s="254">
        <v>0</v>
      </c>
      <c r="X112" s="254">
        <v>0</v>
      </c>
      <c r="Y112" s="254">
        <v>0</v>
      </c>
      <c r="Z112" s="254">
        <v>0</v>
      </c>
      <c r="AA112" s="231"/>
    </row>
    <row r="113" spans="1:27" s="229" customFormat="1" ht="22.5">
      <c r="A113" s="251" t="s">
        <v>76</v>
      </c>
      <c r="B113" s="252" t="s">
        <v>397</v>
      </c>
      <c r="C113" s="253" t="s">
        <v>294</v>
      </c>
      <c r="D113" s="251" t="s">
        <v>11</v>
      </c>
      <c r="E113" s="251" t="s">
        <v>332</v>
      </c>
      <c r="F113" s="251" t="s">
        <v>318</v>
      </c>
      <c r="G113" s="251" t="s">
        <v>307</v>
      </c>
      <c r="H113" s="251"/>
      <c r="I113" s="251"/>
      <c r="J113" s="251"/>
      <c r="K113" s="251"/>
      <c r="L113" s="251" t="s">
        <v>116</v>
      </c>
      <c r="M113" s="251" t="s">
        <v>125</v>
      </c>
      <c r="N113" s="251" t="s">
        <v>126</v>
      </c>
      <c r="O113" s="252" t="s">
        <v>334</v>
      </c>
      <c r="P113" s="254">
        <v>13000000</v>
      </c>
      <c r="Q113" s="254">
        <v>0</v>
      </c>
      <c r="R113" s="254">
        <v>0</v>
      </c>
      <c r="S113" s="254">
        <v>13000000</v>
      </c>
      <c r="T113" s="254">
        <v>0</v>
      </c>
      <c r="U113" s="254">
        <v>0</v>
      </c>
      <c r="V113" s="254">
        <v>13000000</v>
      </c>
      <c r="W113" s="254">
        <v>0</v>
      </c>
      <c r="X113" s="254">
        <v>0</v>
      </c>
      <c r="Y113" s="254">
        <v>0</v>
      </c>
      <c r="Z113" s="254">
        <v>0</v>
      </c>
      <c r="AA113" s="231"/>
    </row>
    <row r="114" spans="1:27" s="229" customFormat="1" ht="22.5">
      <c r="A114" s="251" t="s">
        <v>76</v>
      </c>
      <c r="B114" s="252" t="s">
        <v>397</v>
      </c>
      <c r="C114" s="253" t="s">
        <v>436</v>
      </c>
      <c r="D114" s="251" t="s">
        <v>430</v>
      </c>
      <c r="E114" s="251" t="s">
        <v>117</v>
      </c>
      <c r="F114" s="251" t="s">
        <v>318</v>
      </c>
      <c r="G114" s="251" t="s">
        <v>307</v>
      </c>
      <c r="H114" s="251"/>
      <c r="I114" s="251"/>
      <c r="J114" s="251"/>
      <c r="K114" s="251"/>
      <c r="L114" s="251" t="s">
        <v>116</v>
      </c>
      <c r="M114" s="251" t="s">
        <v>125</v>
      </c>
      <c r="N114" s="251" t="s">
        <v>118</v>
      </c>
      <c r="O114" s="252" t="s">
        <v>437</v>
      </c>
      <c r="P114" s="254">
        <v>217614805</v>
      </c>
      <c r="Q114" s="254">
        <v>0</v>
      </c>
      <c r="R114" s="254">
        <v>0</v>
      </c>
      <c r="S114" s="254">
        <v>217614805</v>
      </c>
      <c r="T114" s="254">
        <v>0</v>
      </c>
      <c r="U114" s="254">
        <v>0</v>
      </c>
      <c r="V114" s="254">
        <v>217614805</v>
      </c>
      <c r="W114" s="254">
        <v>0</v>
      </c>
      <c r="X114" s="254">
        <v>0</v>
      </c>
      <c r="Y114" s="254">
        <v>0</v>
      </c>
      <c r="Z114" s="254">
        <v>0</v>
      </c>
      <c r="AA114" s="231"/>
    </row>
    <row r="115" spans="1:27" s="229" customFormat="1" ht="33.75">
      <c r="A115" s="251" t="s">
        <v>72</v>
      </c>
      <c r="B115" s="252" t="s">
        <v>398</v>
      </c>
      <c r="C115" s="253" t="s">
        <v>306</v>
      </c>
      <c r="D115" s="251" t="s">
        <v>11</v>
      </c>
      <c r="E115" s="251" t="s">
        <v>307</v>
      </c>
      <c r="F115" s="251" t="s">
        <v>307</v>
      </c>
      <c r="G115" s="251" t="s">
        <v>307</v>
      </c>
      <c r="H115" s="251"/>
      <c r="I115" s="251"/>
      <c r="J115" s="251"/>
      <c r="K115" s="251"/>
      <c r="L115" s="251" t="s">
        <v>116</v>
      </c>
      <c r="M115" s="251" t="s">
        <v>117</v>
      </c>
      <c r="N115" s="251" t="s">
        <v>118</v>
      </c>
      <c r="O115" s="252" t="s">
        <v>308</v>
      </c>
      <c r="P115" s="254">
        <v>2686800000</v>
      </c>
      <c r="Q115" s="254">
        <v>0</v>
      </c>
      <c r="R115" s="254">
        <v>0</v>
      </c>
      <c r="S115" s="254">
        <v>2686800000</v>
      </c>
      <c r="T115" s="254">
        <v>0</v>
      </c>
      <c r="U115" s="254">
        <v>2686800000</v>
      </c>
      <c r="V115" s="254">
        <v>0</v>
      </c>
      <c r="W115" s="254">
        <v>266620268</v>
      </c>
      <c r="X115" s="254">
        <v>265627398</v>
      </c>
      <c r="Y115" s="254">
        <v>265627398</v>
      </c>
      <c r="Z115" s="254">
        <v>265627398</v>
      </c>
      <c r="AA115" s="231"/>
    </row>
    <row r="116" spans="1:27" s="229" customFormat="1" ht="33.75">
      <c r="A116" s="251" t="s">
        <v>72</v>
      </c>
      <c r="B116" s="252" t="s">
        <v>398</v>
      </c>
      <c r="C116" s="253" t="s">
        <v>309</v>
      </c>
      <c r="D116" s="251" t="s">
        <v>11</v>
      </c>
      <c r="E116" s="251" t="s">
        <v>307</v>
      </c>
      <c r="F116" s="251" t="s">
        <v>307</v>
      </c>
      <c r="G116" s="251" t="s">
        <v>310</v>
      </c>
      <c r="H116" s="251"/>
      <c r="I116" s="251"/>
      <c r="J116" s="251"/>
      <c r="K116" s="251"/>
      <c r="L116" s="251" t="s">
        <v>116</v>
      </c>
      <c r="M116" s="251" t="s">
        <v>117</v>
      </c>
      <c r="N116" s="251" t="s">
        <v>118</v>
      </c>
      <c r="O116" s="252" t="s">
        <v>311</v>
      </c>
      <c r="P116" s="254">
        <v>742900000</v>
      </c>
      <c r="Q116" s="254">
        <v>0</v>
      </c>
      <c r="R116" s="254">
        <v>0</v>
      </c>
      <c r="S116" s="254">
        <v>742900000</v>
      </c>
      <c r="T116" s="254">
        <v>0</v>
      </c>
      <c r="U116" s="254">
        <v>742900000</v>
      </c>
      <c r="V116" s="254">
        <v>0</v>
      </c>
      <c r="W116" s="254">
        <v>105853973</v>
      </c>
      <c r="X116" s="254">
        <v>102315513</v>
      </c>
      <c r="Y116" s="254">
        <v>102315513</v>
      </c>
      <c r="Z116" s="254">
        <v>102315513</v>
      </c>
      <c r="AA116" s="231"/>
    </row>
    <row r="117" spans="1:27" s="229" customFormat="1" ht="33.75">
      <c r="A117" s="251" t="s">
        <v>72</v>
      </c>
      <c r="B117" s="252" t="s">
        <v>398</v>
      </c>
      <c r="C117" s="253" t="s">
        <v>312</v>
      </c>
      <c r="D117" s="251" t="s">
        <v>11</v>
      </c>
      <c r="E117" s="251" t="s">
        <v>307</v>
      </c>
      <c r="F117" s="251" t="s">
        <v>307</v>
      </c>
      <c r="G117" s="251" t="s">
        <v>313</v>
      </c>
      <c r="H117" s="251"/>
      <c r="I117" s="251"/>
      <c r="J117" s="251"/>
      <c r="K117" s="251"/>
      <c r="L117" s="251" t="s">
        <v>116</v>
      </c>
      <c r="M117" s="251" t="s">
        <v>117</v>
      </c>
      <c r="N117" s="251" t="s">
        <v>118</v>
      </c>
      <c r="O117" s="252" t="s">
        <v>314</v>
      </c>
      <c r="P117" s="254">
        <v>464600000</v>
      </c>
      <c r="Q117" s="254">
        <v>0</v>
      </c>
      <c r="R117" s="254">
        <v>0</v>
      </c>
      <c r="S117" s="254">
        <v>464600000</v>
      </c>
      <c r="T117" s="254">
        <v>0</v>
      </c>
      <c r="U117" s="254">
        <v>464600000</v>
      </c>
      <c r="V117" s="254">
        <v>0</v>
      </c>
      <c r="W117" s="254">
        <v>27688602</v>
      </c>
      <c r="X117" s="254">
        <v>27688602</v>
      </c>
      <c r="Y117" s="254">
        <v>27688602</v>
      </c>
      <c r="Z117" s="254">
        <v>27688602</v>
      </c>
      <c r="AA117" s="231"/>
    </row>
    <row r="118" spans="1:27" s="229" customFormat="1" ht="33.75">
      <c r="A118" s="251" t="s">
        <v>72</v>
      </c>
      <c r="B118" s="252" t="s">
        <v>398</v>
      </c>
      <c r="C118" s="253" t="s">
        <v>432</v>
      </c>
      <c r="D118" s="251" t="s">
        <v>11</v>
      </c>
      <c r="E118" s="251" t="s">
        <v>310</v>
      </c>
      <c r="F118" s="251"/>
      <c r="G118" s="251"/>
      <c r="H118" s="251"/>
      <c r="I118" s="251"/>
      <c r="J118" s="251"/>
      <c r="K118" s="251"/>
      <c r="L118" s="251" t="s">
        <v>116</v>
      </c>
      <c r="M118" s="251" t="s">
        <v>117</v>
      </c>
      <c r="N118" s="251" t="s">
        <v>118</v>
      </c>
      <c r="O118" s="252" t="s">
        <v>433</v>
      </c>
      <c r="P118" s="254">
        <v>69900000</v>
      </c>
      <c r="Q118" s="254">
        <v>0</v>
      </c>
      <c r="R118" s="254">
        <v>0</v>
      </c>
      <c r="S118" s="254">
        <v>69900000</v>
      </c>
      <c r="T118" s="254">
        <v>0</v>
      </c>
      <c r="U118" s="254">
        <v>69900000</v>
      </c>
      <c r="V118" s="254">
        <v>0</v>
      </c>
      <c r="W118" s="254">
        <v>14456667</v>
      </c>
      <c r="X118" s="254">
        <v>14456667</v>
      </c>
      <c r="Y118" s="254">
        <v>14456667</v>
      </c>
      <c r="Z118" s="254">
        <v>14456667</v>
      </c>
      <c r="AA118" s="231"/>
    </row>
    <row r="119" spans="1:27" s="229" customFormat="1" ht="33.75">
      <c r="A119" s="251" t="s">
        <v>72</v>
      </c>
      <c r="B119" s="252" t="s">
        <v>398</v>
      </c>
      <c r="C119" s="253" t="s">
        <v>324</v>
      </c>
      <c r="D119" s="251" t="s">
        <v>11</v>
      </c>
      <c r="E119" s="251" t="s">
        <v>313</v>
      </c>
      <c r="F119" s="251" t="s">
        <v>318</v>
      </c>
      <c r="G119" s="251" t="s">
        <v>310</v>
      </c>
      <c r="H119" s="251" t="s">
        <v>325</v>
      </c>
      <c r="I119" s="251"/>
      <c r="J119" s="251"/>
      <c r="K119" s="251"/>
      <c r="L119" s="251" t="s">
        <v>116</v>
      </c>
      <c r="M119" s="251" t="s">
        <v>117</v>
      </c>
      <c r="N119" s="251" t="s">
        <v>118</v>
      </c>
      <c r="O119" s="252" t="s">
        <v>326</v>
      </c>
      <c r="P119" s="254">
        <v>0</v>
      </c>
      <c r="Q119" s="254">
        <v>0</v>
      </c>
      <c r="R119" s="254">
        <v>0</v>
      </c>
      <c r="S119" s="254">
        <v>0</v>
      </c>
      <c r="T119" s="254">
        <v>0</v>
      </c>
      <c r="U119" s="254">
        <v>0</v>
      </c>
      <c r="V119" s="254">
        <v>0</v>
      </c>
      <c r="W119" s="254">
        <v>0</v>
      </c>
      <c r="X119" s="254">
        <v>0</v>
      </c>
      <c r="Y119" s="254">
        <v>0</v>
      </c>
      <c r="Z119" s="254">
        <v>0</v>
      </c>
      <c r="AA119" s="231"/>
    </row>
    <row r="120" spans="1:27" s="229" customFormat="1" ht="33.75">
      <c r="A120" s="251" t="s">
        <v>72</v>
      </c>
      <c r="B120" s="252" t="s">
        <v>398</v>
      </c>
      <c r="C120" s="253" t="s">
        <v>294</v>
      </c>
      <c r="D120" s="251" t="s">
        <v>11</v>
      </c>
      <c r="E120" s="251" t="s">
        <v>332</v>
      </c>
      <c r="F120" s="251" t="s">
        <v>318</v>
      </c>
      <c r="G120" s="251" t="s">
        <v>307</v>
      </c>
      <c r="H120" s="251"/>
      <c r="I120" s="251"/>
      <c r="J120" s="251"/>
      <c r="K120" s="251"/>
      <c r="L120" s="251" t="s">
        <v>116</v>
      </c>
      <c r="M120" s="251" t="s">
        <v>125</v>
      </c>
      <c r="N120" s="251" t="s">
        <v>126</v>
      </c>
      <c r="O120" s="252" t="s">
        <v>334</v>
      </c>
      <c r="P120" s="254">
        <v>20900000</v>
      </c>
      <c r="Q120" s="254">
        <v>0</v>
      </c>
      <c r="R120" s="254">
        <v>0</v>
      </c>
      <c r="S120" s="254">
        <v>20900000</v>
      </c>
      <c r="T120" s="254">
        <v>0</v>
      </c>
      <c r="U120" s="254">
        <v>0</v>
      </c>
      <c r="V120" s="254">
        <v>20900000</v>
      </c>
      <c r="W120" s="254">
        <v>0</v>
      </c>
      <c r="X120" s="254">
        <v>0</v>
      </c>
      <c r="Y120" s="254">
        <v>0</v>
      </c>
      <c r="Z120" s="254">
        <v>0</v>
      </c>
      <c r="AA120" s="231"/>
    </row>
    <row r="121" spans="1:27" s="229" customFormat="1" ht="33.75">
      <c r="A121" s="251" t="s">
        <v>72</v>
      </c>
      <c r="B121" s="252" t="s">
        <v>398</v>
      </c>
      <c r="C121" s="253" t="s">
        <v>436</v>
      </c>
      <c r="D121" s="251" t="s">
        <v>430</v>
      </c>
      <c r="E121" s="251" t="s">
        <v>117</v>
      </c>
      <c r="F121" s="251" t="s">
        <v>318</v>
      </c>
      <c r="G121" s="251" t="s">
        <v>307</v>
      </c>
      <c r="H121" s="251"/>
      <c r="I121" s="251"/>
      <c r="J121" s="251"/>
      <c r="K121" s="251"/>
      <c r="L121" s="251" t="s">
        <v>116</v>
      </c>
      <c r="M121" s="251" t="s">
        <v>125</v>
      </c>
      <c r="N121" s="251" t="s">
        <v>118</v>
      </c>
      <c r="O121" s="252" t="s">
        <v>437</v>
      </c>
      <c r="P121" s="254">
        <v>1210948940</v>
      </c>
      <c r="Q121" s="254">
        <v>0</v>
      </c>
      <c r="R121" s="254">
        <v>0</v>
      </c>
      <c r="S121" s="254">
        <v>1210948940</v>
      </c>
      <c r="T121" s="254">
        <v>0</v>
      </c>
      <c r="U121" s="254">
        <v>0</v>
      </c>
      <c r="V121" s="254">
        <v>1210948940</v>
      </c>
      <c r="W121" s="254">
        <v>0</v>
      </c>
      <c r="X121" s="254">
        <v>0</v>
      </c>
      <c r="Y121" s="254">
        <v>0</v>
      </c>
      <c r="Z121" s="254">
        <v>0</v>
      </c>
      <c r="AA121" s="231"/>
    </row>
    <row r="122" spans="1:27" s="229" customFormat="1" ht="33.75">
      <c r="A122" s="251" t="s">
        <v>64</v>
      </c>
      <c r="B122" s="252" t="s">
        <v>399</v>
      </c>
      <c r="C122" s="253" t="s">
        <v>306</v>
      </c>
      <c r="D122" s="251" t="s">
        <v>11</v>
      </c>
      <c r="E122" s="251" t="s">
        <v>307</v>
      </c>
      <c r="F122" s="251" t="s">
        <v>307</v>
      </c>
      <c r="G122" s="251" t="s">
        <v>307</v>
      </c>
      <c r="H122" s="251"/>
      <c r="I122" s="251"/>
      <c r="J122" s="251"/>
      <c r="K122" s="251"/>
      <c r="L122" s="251" t="s">
        <v>116</v>
      </c>
      <c r="M122" s="251" t="s">
        <v>117</v>
      </c>
      <c r="N122" s="251" t="s">
        <v>118</v>
      </c>
      <c r="O122" s="252" t="s">
        <v>308</v>
      </c>
      <c r="P122" s="254">
        <v>2949000000</v>
      </c>
      <c r="Q122" s="254">
        <v>0</v>
      </c>
      <c r="R122" s="254">
        <v>0</v>
      </c>
      <c r="S122" s="254">
        <v>2949000000</v>
      </c>
      <c r="T122" s="254">
        <v>0</v>
      </c>
      <c r="U122" s="254">
        <v>2949000000</v>
      </c>
      <c r="V122" s="254">
        <v>0</v>
      </c>
      <c r="W122" s="254">
        <v>187869281</v>
      </c>
      <c r="X122" s="254">
        <v>187869281</v>
      </c>
      <c r="Y122" s="254">
        <v>187869281</v>
      </c>
      <c r="Z122" s="254">
        <v>187869281</v>
      </c>
      <c r="AA122" s="231"/>
    </row>
    <row r="123" spans="1:27" s="229" customFormat="1" ht="33.75">
      <c r="A123" s="251" t="s">
        <v>64</v>
      </c>
      <c r="B123" s="252" t="s">
        <v>399</v>
      </c>
      <c r="C123" s="253" t="s">
        <v>309</v>
      </c>
      <c r="D123" s="251" t="s">
        <v>11</v>
      </c>
      <c r="E123" s="251" t="s">
        <v>307</v>
      </c>
      <c r="F123" s="251" t="s">
        <v>307</v>
      </c>
      <c r="G123" s="251" t="s">
        <v>310</v>
      </c>
      <c r="H123" s="251"/>
      <c r="I123" s="251"/>
      <c r="J123" s="251"/>
      <c r="K123" s="251"/>
      <c r="L123" s="251" t="s">
        <v>116</v>
      </c>
      <c r="M123" s="251" t="s">
        <v>117</v>
      </c>
      <c r="N123" s="251" t="s">
        <v>118</v>
      </c>
      <c r="O123" s="252" t="s">
        <v>311</v>
      </c>
      <c r="P123" s="254">
        <v>894000000</v>
      </c>
      <c r="Q123" s="254">
        <v>0</v>
      </c>
      <c r="R123" s="254">
        <v>0</v>
      </c>
      <c r="S123" s="254">
        <v>894000000</v>
      </c>
      <c r="T123" s="254">
        <v>0</v>
      </c>
      <c r="U123" s="254">
        <v>894000000</v>
      </c>
      <c r="V123" s="254">
        <v>0</v>
      </c>
      <c r="W123" s="254">
        <v>73683044</v>
      </c>
      <c r="X123" s="254">
        <v>73683044</v>
      </c>
      <c r="Y123" s="254">
        <v>73683044</v>
      </c>
      <c r="Z123" s="254">
        <v>73683044</v>
      </c>
      <c r="AA123" s="231"/>
    </row>
    <row r="124" spans="1:27" s="229" customFormat="1" ht="33.75">
      <c r="A124" s="251" t="s">
        <v>64</v>
      </c>
      <c r="B124" s="252" t="s">
        <v>399</v>
      </c>
      <c r="C124" s="253" t="s">
        <v>312</v>
      </c>
      <c r="D124" s="251" t="s">
        <v>11</v>
      </c>
      <c r="E124" s="251" t="s">
        <v>307</v>
      </c>
      <c r="F124" s="251" t="s">
        <v>307</v>
      </c>
      <c r="G124" s="251" t="s">
        <v>313</v>
      </c>
      <c r="H124" s="251"/>
      <c r="I124" s="251"/>
      <c r="J124" s="251"/>
      <c r="K124" s="251"/>
      <c r="L124" s="251" t="s">
        <v>116</v>
      </c>
      <c r="M124" s="251" t="s">
        <v>117</v>
      </c>
      <c r="N124" s="251" t="s">
        <v>118</v>
      </c>
      <c r="O124" s="252" t="s">
        <v>314</v>
      </c>
      <c r="P124" s="254">
        <v>271000000</v>
      </c>
      <c r="Q124" s="254">
        <v>0</v>
      </c>
      <c r="R124" s="254">
        <v>0</v>
      </c>
      <c r="S124" s="254">
        <v>271000000</v>
      </c>
      <c r="T124" s="254">
        <v>0</v>
      </c>
      <c r="U124" s="254">
        <v>271000000</v>
      </c>
      <c r="V124" s="254">
        <v>0</v>
      </c>
      <c r="W124" s="254">
        <v>15206581</v>
      </c>
      <c r="X124" s="254">
        <v>15206581</v>
      </c>
      <c r="Y124" s="254">
        <v>15206581</v>
      </c>
      <c r="Z124" s="254">
        <v>15206581</v>
      </c>
      <c r="AA124" s="231"/>
    </row>
    <row r="125" spans="1:27" s="229" customFormat="1" ht="33.75">
      <c r="A125" s="251" t="s">
        <v>64</v>
      </c>
      <c r="B125" s="252" t="s">
        <v>399</v>
      </c>
      <c r="C125" s="253" t="s">
        <v>432</v>
      </c>
      <c r="D125" s="251" t="s">
        <v>11</v>
      </c>
      <c r="E125" s="251" t="s">
        <v>310</v>
      </c>
      <c r="F125" s="251"/>
      <c r="G125" s="251"/>
      <c r="H125" s="251"/>
      <c r="I125" s="251"/>
      <c r="J125" s="251"/>
      <c r="K125" s="251"/>
      <c r="L125" s="251" t="s">
        <v>116</v>
      </c>
      <c r="M125" s="251" t="s">
        <v>117</v>
      </c>
      <c r="N125" s="251" t="s">
        <v>118</v>
      </c>
      <c r="O125" s="252" t="s">
        <v>433</v>
      </c>
      <c r="P125" s="254">
        <v>39000000</v>
      </c>
      <c r="Q125" s="254">
        <v>0</v>
      </c>
      <c r="R125" s="254">
        <v>0</v>
      </c>
      <c r="S125" s="254">
        <v>39000000</v>
      </c>
      <c r="T125" s="254">
        <v>0</v>
      </c>
      <c r="U125" s="254">
        <v>39000000</v>
      </c>
      <c r="V125" s="254">
        <v>0</v>
      </c>
      <c r="W125" s="254">
        <v>0</v>
      </c>
      <c r="X125" s="254">
        <v>0</v>
      </c>
      <c r="Y125" s="254">
        <v>0</v>
      </c>
      <c r="Z125" s="254">
        <v>0</v>
      </c>
      <c r="AA125" s="231"/>
    </row>
    <row r="126" spans="1:27" s="229" customFormat="1" ht="33.75">
      <c r="A126" s="251" t="s">
        <v>64</v>
      </c>
      <c r="B126" s="252" t="s">
        <v>399</v>
      </c>
      <c r="C126" s="253" t="s">
        <v>294</v>
      </c>
      <c r="D126" s="251" t="s">
        <v>11</v>
      </c>
      <c r="E126" s="251" t="s">
        <v>332</v>
      </c>
      <c r="F126" s="251" t="s">
        <v>318</v>
      </c>
      <c r="G126" s="251" t="s">
        <v>307</v>
      </c>
      <c r="H126" s="251"/>
      <c r="I126" s="251"/>
      <c r="J126" s="251"/>
      <c r="K126" s="251"/>
      <c r="L126" s="251" t="s">
        <v>116</v>
      </c>
      <c r="M126" s="251" t="s">
        <v>125</v>
      </c>
      <c r="N126" s="251" t="s">
        <v>126</v>
      </c>
      <c r="O126" s="252" t="s">
        <v>334</v>
      </c>
      <c r="P126" s="254">
        <v>11000000</v>
      </c>
      <c r="Q126" s="254">
        <v>0</v>
      </c>
      <c r="R126" s="254">
        <v>0</v>
      </c>
      <c r="S126" s="254">
        <v>11000000</v>
      </c>
      <c r="T126" s="254">
        <v>0</v>
      </c>
      <c r="U126" s="254">
        <v>0</v>
      </c>
      <c r="V126" s="254">
        <v>11000000</v>
      </c>
      <c r="W126" s="254">
        <v>0</v>
      </c>
      <c r="X126" s="254">
        <v>0</v>
      </c>
      <c r="Y126" s="254">
        <v>0</v>
      </c>
      <c r="Z126" s="254">
        <v>0</v>
      </c>
      <c r="AA126" s="231"/>
    </row>
    <row r="127" spans="1:27" s="229" customFormat="1" ht="33.75">
      <c r="A127" s="251" t="s">
        <v>64</v>
      </c>
      <c r="B127" s="252" t="s">
        <v>399</v>
      </c>
      <c r="C127" s="253" t="s">
        <v>436</v>
      </c>
      <c r="D127" s="251" t="s">
        <v>430</v>
      </c>
      <c r="E127" s="251" t="s">
        <v>117</v>
      </c>
      <c r="F127" s="251" t="s">
        <v>318</v>
      </c>
      <c r="G127" s="251" t="s">
        <v>307</v>
      </c>
      <c r="H127" s="251"/>
      <c r="I127" s="251"/>
      <c r="J127" s="251"/>
      <c r="K127" s="251"/>
      <c r="L127" s="251" t="s">
        <v>116</v>
      </c>
      <c r="M127" s="251" t="s">
        <v>125</v>
      </c>
      <c r="N127" s="251" t="s">
        <v>118</v>
      </c>
      <c r="O127" s="252" t="s">
        <v>437</v>
      </c>
      <c r="P127" s="254">
        <v>283705576</v>
      </c>
      <c r="Q127" s="254">
        <v>0</v>
      </c>
      <c r="R127" s="254">
        <v>0</v>
      </c>
      <c r="S127" s="254">
        <v>283705576</v>
      </c>
      <c r="T127" s="254">
        <v>0</v>
      </c>
      <c r="U127" s="254">
        <v>0</v>
      </c>
      <c r="V127" s="254">
        <v>283705576</v>
      </c>
      <c r="W127" s="254">
        <v>0</v>
      </c>
      <c r="X127" s="254">
        <v>0</v>
      </c>
      <c r="Y127" s="254">
        <v>0</v>
      </c>
      <c r="Z127" s="254">
        <v>0</v>
      </c>
      <c r="AA127" s="231"/>
    </row>
    <row r="128" spans="1:27" s="229" customFormat="1" ht="45">
      <c r="A128" s="251" t="s">
        <v>57</v>
      </c>
      <c r="B128" s="252" t="s">
        <v>400</v>
      </c>
      <c r="C128" s="253" t="s">
        <v>306</v>
      </c>
      <c r="D128" s="251" t="s">
        <v>11</v>
      </c>
      <c r="E128" s="251" t="s">
        <v>307</v>
      </c>
      <c r="F128" s="251" t="s">
        <v>307</v>
      </c>
      <c r="G128" s="251" t="s">
        <v>307</v>
      </c>
      <c r="H128" s="251"/>
      <c r="I128" s="251"/>
      <c r="J128" s="251"/>
      <c r="K128" s="251"/>
      <c r="L128" s="251" t="s">
        <v>116</v>
      </c>
      <c r="M128" s="251" t="s">
        <v>117</v>
      </c>
      <c r="N128" s="251" t="s">
        <v>118</v>
      </c>
      <c r="O128" s="252" t="s">
        <v>308</v>
      </c>
      <c r="P128" s="254">
        <v>1667600000</v>
      </c>
      <c r="Q128" s="254">
        <v>0</v>
      </c>
      <c r="R128" s="254">
        <v>0</v>
      </c>
      <c r="S128" s="254">
        <v>1667600000</v>
      </c>
      <c r="T128" s="254">
        <v>0</v>
      </c>
      <c r="U128" s="254">
        <v>260500000</v>
      </c>
      <c r="V128" s="254">
        <v>1407100000</v>
      </c>
      <c r="W128" s="254">
        <v>260500000</v>
      </c>
      <c r="X128" s="254">
        <v>260500000</v>
      </c>
      <c r="Y128" s="254">
        <v>260500000</v>
      </c>
      <c r="Z128" s="254">
        <v>260500000</v>
      </c>
      <c r="AA128" s="231"/>
    </row>
    <row r="129" spans="1:27" s="229" customFormat="1" ht="45">
      <c r="A129" s="251" t="s">
        <v>57</v>
      </c>
      <c r="B129" s="252" t="s">
        <v>400</v>
      </c>
      <c r="C129" s="253" t="s">
        <v>309</v>
      </c>
      <c r="D129" s="251" t="s">
        <v>11</v>
      </c>
      <c r="E129" s="251" t="s">
        <v>307</v>
      </c>
      <c r="F129" s="251" t="s">
        <v>307</v>
      </c>
      <c r="G129" s="251" t="s">
        <v>310</v>
      </c>
      <c r="H129" s="251"/>
      <c r="I129" s="251"/>
      <c r="J129" s="251"/>
      <c r="K129" s="251"/>
      <c r="L129" s="251" t="s">
        <v>116</v>
      </c>
      <c r="M129" s="251" t="s">
        <v>117</v>
      </c>
      <c r="N129" s="251" t="s">
        <v>118</v>
      </c>
      <c r="O129" s="252" t="s">
        <v>311</v>
      </c>
      <c r="P129" s="254">
        <v>418900000</v>
      </c>
      <c r="Q129" s="254">
        <v>0</v>
      </c>
      <c r="R129" s="254">
        <v>0</v>
      </c>
      <c r="S129" s="254">
        <v>418900000</v>
      </c>
      <c r="T129" s="254">
        <v>0</v>
      </c>
      <c r="U129" s="254">
        <v>90000000</v>
      </c>
      <c r="V129" s="254">
        <v>328900000</v>
      </c>
      <c r="W129" s="254">
        <v>90000000</v>
      </c>
      <c r="X129" s="254">
        <v>90000000</v>
      </c>
      <c r="Y129" s="254">
        <v>90000000</v>
      </c>
      <c r="Z129" s="254">
        <v>90000000</v>
      </c>
      <c r="AA129" s="231"/>
    </row>
    <row r="130" spans="1:27" s="229" customFormat="1" ht="45">
      <c r="A130" s="251" t="s">
        <v>57</v>
      </c>
      <c r="B130" s="252" t="s">
        <v>400</v>
      </c>
      <c r="C130" s="253" t="s">
        <v>312</v>
      </c>
      <c r="D130" s="251" t="s">
        <v>11</v>
      </c>
      <c r="E130" s="251" t="s">
        <v>307</v>
      </c>
      <c r="F130" s="251" t="s">
        <v>307</v>
      </c>
      <c r="G130" s="251" t="s">
        <v>313</v>
      </c>
      <c r="H130" s="251"/>
      <c r="I130" s="251"/>
      <c r="J130" s="251"/>
      <c r="K130" s="251"/>
      <c r="L130" s="251" t="s">
        <v>116</v>
      </c>
      <c r="M130" s="251" t="s">
        <v>117</v>
      </c>
      <c r="N130" s="251" t="s">
        <v>118</v>
      </c>
      <c r="O130" s="252" t="s">
        <v>314</v>
      </c>
      <c r="P130" s="254">
        <v>41200000</v>
      </c>
      <c r="Q130" s="254">
        <v>0</v>
      </c>
      <c r="R130" s="254">
        <v>0</v>
      </c>
      <c r="S130" s="254">
        <v>41200000</v>
      </c>
      <c r="T130" s="254">
        <v>0</v>
      </c>
      <c r="U130" s="254">
        <v>10000000</v>
      </c>
      <c r="V130" s="254">
        <v>31200000</v>
      </c>
      <c r="W130" s="254">
        <v>10000000</v>
      </c>
      <c r="X130" s="254">
        <v>10000000</v>
      </c>
      <c r="Y130" s="254">
        <v>10000000</v>
      </c>
      <c r="Z130" s="254">
        <v>10000000</v>
      </c>
      <c r="AA130" s="231"/>
    </row>
    <row r="131" spans="1:27" s="229" customFormat="1" ht="45">
      <c r="A131" s="251" t="s">
        <v>57</v>
      </c>
      <c r="B131" s="252" t="s">
        <v>400</v>
      </c>
      <c r="C131" s="253" t="s">
        <v>434</v>
      </c>
      <c r="D131" s="251" t="s">
        <v>11</v>
      </c>
      <c r="E131" s="251" t="s">
        <v>313</v>
      </c>
      <c r="F131" s="251" t="s">
        <v>117</v>
      </c>
      <c r="G131" s="251"/>
      <c r="H131" s="251"/>
      <c r="I131" s="251"/>
      <c r="J131" s="251"/>
      <c r="K131" s="251"/>
      <c r="L131" s="251" t="s">
        <v>116</v>
      </c>
      <c r="M131" s="251" t="s">
        <v>117</v>
      </c>
      <c r="N131" s="251" t="s">
        <v>118</v>
      </c>
      <c r="O131" s="252" t="s">
        <v>435</v>
      </c>
      <c r="P131" s="254">
        <v>80100000</v>
      </c>
      <c r="Q131" s="254">
        <v>0</v>
      </c>
      <c r="R131" s="254">
        <v>0</v>
      </c>
      <c r="S131" s="254">
        <v>80100000</v>
      </c>
      <c r="T131" s="254">
        <v>0</v>
      </c>
      <c r="U131" s="254">
        <v>0</v>
      </c>
      <c r="V131" s="254">
        <v>80100000</v>
      </c>
      <c r="W131" s="254">
        <v>0</v>
      </c>
      <c r="X131" s="254">
        <v>0</v>
      </c>
      <c r="Y131" s="254">
        <v>0</v>
      </c>
      <c r="Z131" s="254">
        <v>0</v>
      </c>
      <c r="AA131" s="231"/>
    </row>
    <row r="132" spans="1:27" s="229" customFormat="1" ht="45">
      <c r="A132" s="251" t="s">
        <v>57</v>
      </c>
      <c r="B132" s="252" t="s">
        <v>400</v>
      </c>
      <c r="C132" s="253" t="s">
        <v>294</v>
      </c>
      <c r="D132" s="251" t="s">
        <v>11</v>
      </c>
      <c r="E132" s="251" t="s">
        <v>332</v>
      </c>
      <c r="F132" s="251" t="s">
        <v>318</v>
      </c>
      <c r="G132" s="251" t="s">
        <v>307</v>
      </c>
      <c r="H132" s="251"/>
      <c r="I132" s="251"/>
      <c r="J132" s="251"/>
      <c r="K132" s="251"/>
      <c r="L132" s="251" t="s">
        <v>116</v>
      </c>
      <c r="M132" s="251" t="s">
        <v>125</v>
      </c>
      <c r="N132" s="251" t="s">
        <v>126</v>
      </c>
      <c r="O132" s="252" t="s">
        <v>334</v>
      </c>
      <c r="P132" s="254">
        <v>24400000</v>
      </c>
      <c r="Q132" s="254">
        <v>0</v>
      </c>
      <c r="R132" s="254">
        <v>0</v>
      </c>
      <c r="S132" s="254">
        <v>24400000</v>
      </c>
      <c r="T132" s="254">
        <v>0</v>
      </c>
      <c r="U132" s="254">
        <v>0</v>
      </c>
      <c r="V132" s="254">
        <v>24400000</v>
      </c>
      <c r="W132" s="254">
        <v>0</v>
      </c>
      <c r="X132" s="254">
        <v>0</v>
      </c>
      <c r="Y132" s="254">
        <v>0</v>
      </c>
      <c r="Z132" s="254">
        <v>0</v>
      </c>
      <c r="AA132" s="231"/>
    </row>
    <row r="133" spans="1:27" s="229" customFormat="1" ht="56.25">
      <c r="A133" s="251" t="s">
        <v>57</v>
      </c>
      <c r="B133" s="252" t="s">
        <v>400</v>
      </c>
      <c r="C133" s="253" t="s">
        <v>522</v>
      </c>
      <c r="D133" s="251" t="s">
        <v>16</v>
      </c>
      <c r="E133" s="251" t="s">
        <v>136</v>
      </c>
      <c r="F133" s="251" t="s">
        <v>132</v>
      </c>
      <c r="G133" s="251" t="s">
        <v>345</v>
      </c>
      <c r="H133" s="251" t="s">
        <v>84</v>
      </c>
      <c r="I133" s="251" t="s">
        <v>84</v>
      </c>
      <c r="J133" s="251" t="s">
        <v>84</v>
      </c>
      <c r="K133" s="251" t="s">
        <v>84</v>
      </c>
      <c r="L133" s="251" t="s">
        <v>116</v>
      </c>
      <c r="M133" s="251" t="s">
        <v>125</v>
      </c>
      <c r="N133" s="251" t="s">
        <v>118</v>
      </c>
      <c r="O133" s="252" t="s">
        <v>532</v>
      </c>
      <c r="P133" s="254">
        <v>3740805357</v>
      </c>
      <c r="Q133" s="254">
        <v>0</v>
      </c>
      <c r="R133" s="254">
        <v>0</v>
      </c>
      <c r="S133" s="254">
        <v>3740805357</v>
      </c>
      <c r="T133" s="254">
        <v>0</v>
      </c>
      <c r="U133" s="254">
        <v>3724010345</v>
      </c>
      <c r="V133" s="254">
        <v>16795012</v>
      </c>
      <c r="W133" s="254">
        <v>301140350</v>
      </c>
      <c r="X133" s="254">
        <v>0</v>
      </c>
      <c r="Y133" s="254">
        <v>0</v>
      </c>
      <c r="Z133" s="254">
        <v>0</v>
      </c>
      <c r="AA133" s="231"/>
    </row>
    <row r="134" spans="1:27" s="229" customFormat="1" ht="45">
      <c r="A134" s="251" t="s">
        <v>81</v>
      </c>
      <c r="B134" s="252" t="s">
        <v>401</v>
      </c>
      <c r="C134" s="253" t="s">
        <v>306</v>
      </c>
      <c r="D134" s="251" t="s">
        <v>11</v>
      </c>
      <c r="E134" s="251" t="s">
        <v>307</v>
      </c>
      <c r="F134" s="251" t="s">
        <v>307</v>
      </c>
      <c r="G134" s="251" t="s">
        <v>307</v>
      </c>
      <c r="H134" s="251"/>
      <c r="I134" s="251"/>
      <c r="J134" s="251"/>
      <c r="K134" s="251"/>
      <c r="L134" s="251" t="s">
        <v>116</v>
      </c>
      <c r="M134" s="251" t="s">
        <v>117</v>
      </c>
      <c r="N134" s="251" t="s">
        <v>118</v>
      </c>
      <c r="O134" s="252" t="s">
        <v>308</v>
      </c>
      <c r="P134" s="254">
        <v>1339265000</v>
      </c>
      <c r="Q134" s="254">
        <v>0</v>
      </c>
      <c r="R134" s="254">
        <v>0</v>
      </c>
      <c r="S134" s="254">
        <v>1339265000</v>
      </c>
      <c r="T134" s="254">
        <v>0</v>
      </c>
      <c r="U134" s="254">
        <v>1339265000</v>
      </c>
      <c r="V134" s="254">
        <v>0</v>
      </c>
      <c r="W134" s="254">
        <v>1339265000</v>
      </c>
      <c r="X134" s="254">
        <v>0</v>
      </c>
      <c r="Y134" s="254">
        <v>0</v>
      </c>
      <c r="Z134" s="254">
        <v>0</v>
      </c>
      <c r="AA134" s="231"/>
    </row>
    <row r="135" spans="1:27" s="229" customFormat="1" ht="33.75">
      <c r="A135" s="251" t="s">
        <v>74</v>
      </c>
      <c r="B135" s="252" t="s">
        <v>402</v>
      </c>
      <c r="C135" s="253" t="s">
        <v>306</v>
      </c>
      <c r="D135" s="251" t="s">
        <v>11</v>
      </c>
      <c r="E135" s="251" t="s">
        <v>307</v>
      </c>
      <c r="F135" s="251" t="s">
        <v>307</v>
      </c>
      <c r="G135" s="251" t="s">
        <v>307</v>
      </c>
      <c r="H135" s="251"/>
      <c r="I135" s="251"/>
      <c r="J135" s="251"/>
      <c r="K135" s="251"/>
      <c r="L135" s="251" t="s">
        <v>116</v>
      </c>
      <c r="M135" s="251" t="s">
        <v>117</v>
      </c>
      <c r="N135" s="251" t="s">
        <v>118</v>
      </c>
      <c r="O135" s="252" t="s">
        <v>308</v>
      </c>
      <c r="P135" s="254">
        <v>1698438000</v>
      </c>
      <c r="Q135" s="254">
        <v>0</v>
      </c>
      <c r="R135" s="254">
        <v>0</v>
      </c>
      <c r="S135" s="254">
        <v>1698438000</v>
      </c>
      <c r="T135" s="254">
        <v>0</v>
      </c>
      <c r="U135" s="254">
        <v>0</v>
      </c>
      <c r="V135" s="254">
        <v>1698438000</v>
      </c>
      <c r="W135" s="254">
        <v>0</v>
      </c>
      <c r="X135" s="254">
        <v>0</v>
      </c>
      <c r="Y135" s="254">
        <v>0</v>
      </c>
      <c r="Z135" s="254">
        <v>0</v>
      </c>
      <c r="AA135" s="231"/>
    </row>
    <row r="136" spans="1:27" s="229" customFormat="1" ht="33.75">
      <c r="A136" s="251" t="s">
        <v>74</v>
      </c>
      <c r="B136" s="252" t="s">
        <v>402</v>
      </c>
      <c r="C136" s="253" t="s">
        <v>309</v>
      </c>
      <c r="D136" s="251" t="s">
        <v>11</v>
      </c>
      <c r="E136" s="251" t="s">
        <v>307</v>
      </c>
      <c r="F136" s="251" t="s">
        <v>307</v>
      </c>
      <c r="G136" s="251" t="s">
        <v>310</v>
      </c>
      <c r="H136" s="251"/>
      <c r="I136" s="251"/>
      <c r="J136" s="251"/>
      <c r="K136" s="251"/>
      <c r="L136" s="251" t="s">
        <v>116</v>
      </c>
      <c r="M136" s="251" t="s">
        <v>117</v>
      </c>
      <c r="N136" s="251" t="s">
        <v>118</v>
      </c>
      <c r="O136" s="252" t="s">
        <v>311</v>
      </c>
      <c r="P136" s="254">
        <v>436276000</v>
      </c>
      <c r="Q136" s="254">
        <v>0</v>
      </c>
      <c r="R136" s="254">
        <v>0</v>
      </c>
      <c r="S136" s="254">
        <v>436276000</v>
      </c>
      <c r="T136" s="254">
        <v>0</v>
      </c>
      <c r="U136" s="254">
        <v>0</v>
      </c>
      <c r="V136" s="254">
        <v>436276000</v>
      </c>
      <c r="W136" s="254">
        <v>0</v>
      </c>
      <c r="X136" s="254">
        <v>0</v>
      </c>
      <c r="Y136" s="254">
        <v>0</v>
      </c>
      <c r="Z136" s="254">
        <v>0</v>
      </c>
      <c r="AA136" s="231"/>
    </row>
    <row r="137" spans="1:27" s="229" customFormat="1" ht="33.75">
      <c r="A137" s="251" t="s">
        <v>74</v>
      </c>
      <c r="B137" s="252" t="s">
        <v>402</v>
      </c>
      <c r="C137" s="253" t="s">
        <v>312</v>
      </c>
      <c r="D137" s="251" t="s">
        <v>11</v>
      </c>
      <c r="E137" s="251" t="s">
        <v>307</v>
      </c>
      <c r="F137" s="251" t="s">
        <v>307</v>
      </c>
      <c r="G137" s="251" t="s">
        <v>313</v>
      </c>
      <c r="H137" s="251"/>
      <c r="I137" s="251"/>
      <c r="J137" s="251"/>
      <c r="K137" s="251"/>
      <c r="L137" s="251" t="s">
        <v>116</v>
      </c>
      <c r="M137" s="251" t="s">
        <v>117</v>
      </c>
      <c r="N137" s="251" t="s">
        <v>118</v>
      </c>
      <c r="O137" s="252" t="s">
        <v>314</v>
      </c>
      <c r="P137" s="254">
        <v>63285000</v>
      </c>
      <c r="Q137" s="254">
        <v>0</v>
      </c>
      <c r="R137" s="254">
        <v>0</v>
      </c>
      <c r="S137" s="254">
        <v>63285000</v>
      </c>
      <c r="T137" s="254">
        <v>0</v>
      </c>
      <c r="U137" s="254">
        <v>0</v>
      </c>
      <c r="V137" s="254">
        <v>63285000</v>
      </c>
      <c r="W137" s="254">
        <v>0</v>
      </c>
      <c r="X137" s="254">
        <v>0</v>
      </c>
      <c r="Y137" s="254">
        <v>0</v>
      </c>
      <c r="Z137" s="254">
        <v>0</v>
      </c>
      <c r="AA137" s="231"/>
    </row>
    <row r="138" spans="1:27" s="229" customFormat="1" ht="33.75">
      <c r="A138" s="251" t="s">
        <v>74</v>
      </c>
      <c r="B138" s="252" t="s">
        <v>402</v>
      </c>
      <c r="C138" s="253" t="s">
        <v>432</v>
      </c>
      <c r="D138" s="251" t="s">
        <v>11</v>
      </c>
      <c r="E138" s="251" t="s">
        <v>310</v>
      </c>
      <c r="F138" s="251"/>
      <c r="G138" s="251"/>
      <c r="H138" s="251"/>
      <c r="I138" s="251"/>
      <c r="J138" s="251"/>
      <c r="K138" s="251"/>
      <c r="L138" s="251" t="s">
        <v>116</v>
      </c>
      <c r="M138" s="251" t="s">
        <v>117</v>
      </c>
      <c r="N138" s="251" t="s">
        <v>118</v>
      </c>
      <c r="O138" s="252" t="s">
        <v>433</v>
      </c>
      <c r="P138" s="254">
        <v>102400000</v>
      </c>
      <c r="Q138" s="254">
        <v>0</v>
      </c>
      <c r="R138" s="254">
        <v>0</v>
      </c>
      <c r="S138" s="254">
        <v>102400000</v>
      </c>
      <c r="T138" s="254">
        <v>0</v>
      </c>
      <c r="U138" s="254">
        <v>0</v>
      </c>
      <c r="V138" s="254">
        <v>102400000</v>
      </c>
      <c r="W138" s="254">
        <v>0</v>
      </c>
      <c r="X138" s="254">
        <v>0</v>
      </c>
      <c r="Y138" s="254">
        <v>0</v>
      </c>
      <c r="Z138" s="254">
        <v>0</v>
      </c>
      <c r="AA138" s="231"/>
    </row>
    <row r="139" spans="1:27" s="229" customFormat="1" ht="33.75">
      <c r="A139" s="251" t="s">
        <v>74</v>
      </c>
      <c r="B139" s="252" t="s">
        <v>402</v>
      </c>
      <c r="C139" s="253" t="s">
        <v>298</v>
      </c>
      <c r="D139" s="251" t="s">
        <v>11</v>
      </c>
      <c r="E139" s="251" t="s">
        <v>332</v>
      </c>
      <c r="F139" s="251" t="s">
        <v>307</v>
      </c>
      <c r="G139" s="251"/>
      <c r="H139" s="251"/>
      <c r="I139" s="251"/>
      <c r="J139" s="251"/>
      <c r="K139" s="251"/>
      <c r="L139" s="251" t="s">
        <v>116</v>
      </c>
      <c r="M139" s="251" t="s">
        <v>117</v>
      </c>
      <c r="N139" s="251" t="s">
        <v>118</v>
      </c>
      <c r="O139" s="252" t="s">
        <v>333</v>
      </c>
      <c r="P139" s="254">
        <v>8765000</v>
      </c>
      <c r="Q139" s="254">
        <v>0</v>
      </c>
      <c r="R139" s="254">
        <v>0</v>
      </c>
      <c r="S139" s="254">
        <v>8765000</v>
      </c>
      <c r="T139" s="254">
        <v>0</v>
      </c>
      <c r="U139" s="254">
        <v>0</v>
      </c>
      <c r="V139" s="254">
        <v>8765000</v>
      </c>
      <c r="W139" s="254">
        <v>0</v>
      </c>
      <c r="X139" s="254">
        <v>0</v>
      </c>
      <c r="Y139" s="254">
        <v>0</v>
      </c>
      <c r="Z139" s="254">
        <v>0</v>
      </c>
      <c r="AA139" s="231"/>
    </row>
    <row r="140" spans="1:27" s="229" customFormat="1" ht="33.75">
      <c r="A140" s="251" t="s">
        <v>74</v>
      </c>
      <c r="B140" s="252" t="s">
        <v>402</v>
      </c>
      <c r="C140" s="253" t="s">
        <v>294</v>
      </c>
      <c r="D140" s="251" t="s">
        <v>11</v>
      </c>
      <c r="E140" s="251" t="s">
        <v>332</v>
      </c>
      <c r="F140" s="251" t="s">
        <v>318</v>
      </c>
      <c r="G140" s="251" t="s">
        <v>307</v>
      </c>
      <c r="H140" s="251"/>
      <c r="I140" s="251"/>
      <c r="J140" s="251"/>
      <c r="K140" s="251"/>
      <c r="L140" s="251" t="s">
        <v>116</v>
      </c>
      <c r="M140" s="251" t="s">
        <v>125</v>
      </c>
      <c r="N140" s="251" t="s">
        <v>126</v>
      </c>
      <c r="O140" s="252" t="s">
        <v>334</v>
      </c>
      <c r="P140" s="254">
        <v>9800000</v>
      </c>
      <c r="Q140" s="254">
        <v>0</v>
      </c>
      <c r="R140" s="254">
        <v>0</v>
      </c>
      <c r="S140" s="254">
        <v>9800000</v>
      </c>
      <c r="T140" s="254">
        <v>0</v>
      </c>
      <c r="U140" s="254">
        <v>0</v>
      </c>
      <c r="V140" s="254">
        <v>9800000</v>
      </c>
      <c r="W140" s="254">
        <v>0</v>
      </c>
      <c r="X140" s="254">
        <v>0</v>
      </c>
      <c r="Y140" s="254">
        <v>0</v>
      </c>
      <c r="Z140" s="254">
        <v>0</v>
      </c>
      <c r="AA140" s="231"/>
    </row>
    <row r="141" spans="1:27" s="229" customFormat="1" ht="33.75">
      <c r="A141" s="251" t="s">
        <v>74</v>
      </c>
      <c r="B141" s="252" t="s">
        <v>402</v>
      </c>
      <c r="C141" s="253" t="s">
        <v>436</v>
      </c>
      <c r="D141" s="251" t="s">
        <v>430</v>
      </c>
      <c r="E141" s="251" t="s">
        <v>117</v>
      </c>
      <c r="F141" s="251" t="s">
        <v>318</v>
      </c>
      <c r="G141" s="251" t="s">
        <v>307</v>
      </c>
      <c r="H141" s="251"/>
      <c r="I141" s="251"/>
      <c r="J141" s="251"/>
      <c r="K141" s="251"/>
      <c r="L141" s="251" t="s">
        <v>116</v>
      </c>
      <c r="M141" s="251" t="s">
        <v>125</v>
      </c>
      <c r="N141" s="251" t="s">
        <v>118</v>
      </c>
      <c r="O141" s="252" t="s">
        <v>437</v>
      </c>
      <c r="P141" s="254">
        <v>4644239146</v>
      </c>
      <c r="Q141" s="254">
        <v>0</v>
      </c>
      <c r="R141" s="254">
        <v>0</v>
      </c>
      <c r="S141" s="254">
        <v>4644239146</v>
      </c>
      <c r="T141" s="254">
        <v>0</v>
      </c>
      <c r="U141" s="254">
        <v>0</v>
      </c>
      <c r="V141" s="254">
        <v>4644239146</v>
      </c>
      <c r="W141" s="254">
        <v>0</v>
      </c>
      <c r="X141" s="254">
        <v>0</v>
      </c>
      <c r="Y141" s="254">
        <v>0</v>
      </c>
      <c r="Z141" s="254">
        <v>0</v>
      </c>
      <c r="AA141" s="231"/>
    </row>
    <row r="142" spans="1:27" s="229" customFormat="1" ht="33.75">
      <c r="A142" s="251" t="s">
        <v>79</v>
      </c>
      <c r="B142" s="252" t="s">
        <v>403</v>
      </c>
      <c r="C142" s="253" t="s">
        <v>306</v>
      </c>
      <c r="D142" s="251" t="s">
        <v>11</v>
      </c>
      <c r="E142" s="251" t="s">
        <v>307</v>
      </c>
      <c r="F142" s="251" t="s">
        <v>307</v>
      </c>
      <c r="G142" s="251" t="s">
        <v>307</v>
      </c>
      <c r="H142" s="251"/>
      <c r="I142" s="251"/>
      <c r="J142" s="251"/>
      <c r="K142" s="251"/>
      <c r="L142" s="251" t="s">
        <v>116</v>
      </c>
      <c r="M142" s="251" t="s">
        <v>117</v>
      </c>
      <c r="N142" s="251" t="s">
        <v>118</v>
      </c>
      <c r="O142" s="252" t="s">
        <v>308</v>
      </c>
      <c r="P142" s="254">
        <v>1644800000</v>
      </c>
      <c r="Q142" s="254">
        <v>0</v>
      </c>
      <c r="R142" s="254">
        <v>0</v>
      </c>
      <c r="S142" s="254">
        <v>1644800000</v>
      </c>
      <c r="T142" s="254">
        <v>0</v>
      </c>
      <c r="U142" s="254">
        <v>1644800000</v>
      </c>
      <c r="V142" s="254">
        <v>0</v>
      </c>
      <c r="W142" s="254">
        <v>79741139</v>
      </c>
      <c r="X142" s="254">
        <v>79741139</v>
      </c>
      <c r="Y142" s="254">
        <v>79741139</v>
      </c>
      <c r="Z142" s="254">
        <v>79741139</v>
      </c>
      <c r="AA142" s="231"/>
    </row>
    <row r="143" spans="1:27" s="229" customFormat="1" ht="33.75">
      <c r="A143" s="251" t="s">
        <v>79</v>
      </c>
      <c r="B143" s="252" t="s">
        <v>403</v>
      </c>
      <c r="C143" s="253" t="s">
        <v>309</v>
      </c>
      <c r="D143" s="251" t="s">
        <v>11</v>
      </c>
      <c r="E143" s="251" t="s">
        <v>307</v>
      </c>
      <c r="F143" s="251" t="s">
        <v>307</v>
      </c>
      <c r="G143" s="251" t="s">
        <v>310</v>
      </c>
      <c r="H143" s="251"/>
      <c r="I143" s="251"/>
      <c r="J143" s="251"/>
      <c r="K143" s="251"/>
      <c r="L143" s="251" t="s">
        <v>116</v>
      </c>
      <c r="M143" s="251" t="s">
        <v>117</v>
      </c>
      <c r="N143" s="251" t="s">
        <v>118</v>
      </c>
      <c r="O143" s="252" t="s">
        <v>311</v>
      </c>
      <c r="P143" s="254">
        <v>524500000</v>
      </c>
      <c r="Q143" s="254">
        <v>0</v>
      </c>
      <c r="R143" s="254">
        <v>0</v>
      </c>
      <c r="S143" s="254">
        <v>524500000</v>
      </c>
      <c r="T143" s="254">
        <v>0</v>
      </c>
      <c r="U143" s="254">
        <v>524500000</v>
      </c>
      <c r="V143" s="254">
        <v>0</v>
      </c>
      <c r="W143" s="254">
        <v>73665470</v>
      </c>
      <c r="X143" s="254">
        <v>73665470</v>
      </c>
      <c r="Y143" s="254">
        <v>73665470</v>
      </c>
      <c r="Z143" s="254">
        <v>73665470</v>
      </c>
      <c r="AA143" s="231"/>
    </row>
    <row r="144" spans="1:27" s="229" customFormat="1" ht="33.75">
      <c r="A144" s="251" t="s">
        <v>79</v>
      </c>
      <c r="B144" s="252" t="s">
        <v>403</v>
      </c>
      <c r="C144" s="253" t="s">
        <v>312</v>
      </c>
      <c r="D144" s="251" t="s">
        <v>11</v>
      </c>
      <c r="E144" s="251" t="s">
        <v>307</v>
      </c>
      <c r="F144" s="251" t="s">
        <v>307</v>
      </c>
      <c r="G144" s="251" t="s">
        <v>313</v>
      </c>
      <c r="H144" s="251"/>
      <c r="I144" s="251"/>
      <c r="J144" s="251"/>
      <c r="K144" s="251"/>
      <c r="L144" s="251" t="s">
        <v>116</v>
      </c>
      <c r="M144" s="251" t="s">
        <v>117</v>
      </c>
      <c r="N144" s="251" t="s">
        <v>118</v>
      </c>
      <c r="O144" s="252" t="s">
        <v>314</v>
      </c>
      <c r="P144" s="254">
        <v>468700000</v>
      </c>
      <c r="Q144" s="254">
        <v>0</v>
      </c>
      <c r="R144" s="254">
        <v>0</v>
      </c>
      <c r="S144" s="254">
        <v>468700000</v>
      </c>
      <c r="T144" s="254">
        <v>0</v>
      </c>
      <c r="U144" s="254">
        <v>468700000</v>
      </c>
      <c r="V144" s="254">
        <v>0</v>
      </c>
      <c r="W144" s="254">
        <v>48593391</v>
      </c>
      <c r="X144" s="254">
        <v>48593391</v>
      </c>
      <c r="Y144" s="254">
        <v>48593391</v>
      </c>
      <c r="Z144" s="254">
        <v>48593391</v>
      </c>
      <c r="AA144" s="231"/>
    </row>
    <row r="145" spans="1:27" s="229" customFormat="1" ht="33.75">
      <c r="A145" s="251" t="s">
        <v>79</v>
      </c>
      <c r="B145" s="252" t="s">
        <v>403</v>
      </c>
      <c r="C145" s="253" t="s">
        <v>432</v>
      </c>
      <c r="D145" s="251" t="s">
        <v>11</v>
      </c>
      <c r="E145" s="251" t="s">
        <v>310</v>
      </c>
      <c r="F145" s="251"/>
      <c r="G145" s="251"/>
      <c r="H145" s="251"/>
      <c r="I145" s="251"/>
      <c r="J145" s="251"/>
      <c r="K145" s="251"/>
      <c r="L145" s="251" t="s">
        <v>116</v>
      </c>
      <c r="M145" s="251" t="s">
        <v>117</v>
      </c>
      <c r="N145" s="251" t="s">
        <v>118</v>
      </c>
      <c r="O145" s="252" t="s">
        <v>433</v>
      </c>
      <c r="P145" s="254">
        <v>89300000</v>
      </c>
      <c r="Q145" s="254">
        <v>0</v>
      </c>
      <c r="R145" s="254">
        <v>0</v>
      </c>
      <c r="S145" s="254">
        <v>89300000</v>
      </c>
      <c r="T145" s="254">
        <v>0</v>
      </c>
      <c r="U145" s="254">
        <v>89300000</v>
      </c>
      <c r="V145" s="254">
        <v>0</v>
      </c>
      <c r="W145" s="254">
        <v>12133332</v>
      </c>
      <c r="X145" s="254">
        <v>6066666</v>
      </c>
      <c r="Y145" s="254">
        <v>6066666</v>
      </c>
      <c r="Z145" s="254">
        <v>6066666</v>
      </c>
      <c r="AA145" s="231"/>
    </row>
    <row r="146" spans="1:27" s="229" customFormat="1" ht="33.75">
      <c r="A146" s="251" t="s">
        <v>79</v>
      </c>
      <c r="B146" s="252" t="s">
        <v>403</v>
      </c>
      <c r="C146" s="253" t="s">
        <v>298</v>
      </c>
      <c r="D146" s="251" t="s">
        <v>11</v>
      </c>
      <c r="E146" s="251" t="s">
        <v>332</v>
      </c>
      <c r="F146" s="251" t="s">
        <v>307</v>
      </c>
      <c r="G146" s="251"/>
      <c r="H146" s="251"/>
      <c r="I146" s="251"/>
      <c r="J146" s="251"/>
      <c r="K146" s="251"/>
      <c r="L146" s="251" t="s">
        <v>116</v>
      </c>
      <c r="M146" s="251" t="s">
        <v>117</v>
      </c>
      <c r="N146" s="251" t="s">
        <v>118</v>
      </c>
      <c r="O146" s="252" t="s">
        <v>333</v>
      </c>
      <c r="P146" s="254">
        <v>43900000</v>
      </c>
      <c r="Q146" s="254">
        <v>0</v>
      </c>
      <c r="R146" s="254">
        <v>0</v>
      </c>
      <c r="S146" s="254">
        <v>43900000</v>
      </c>
      <c r="T146" s="254">
        <v>0</v>
      </c>
      <c r="U146" s="254">
        <v>43900000</v>
      </c>
      <c r="V146" s="254">
        <v>0</v>
      </c>
      <c r="W146" s="254">
        <v>0</v>
      </c>
      <c r="X146" s="254">
        <v>0</v>
      </c>
      <c r="Y146" s="254">
        <v>0</v>
      </c>
      <c r="Z146" s="254">
        <v>0</v>
      </c>
      <c r="AA146" s="231"/>
    </row>
    <row r="147" spans="1:27" s="229" customFormat="1" ht="33.75">
      <c r="A147" s="251" t="s">
        <v>79</v>
      </c>
      <c r="B147" s="252" t="s">
        <v>403</v>
      </c>
      <c r="C147" s="253" t="s">
        <v>294</v>
      </c>
      <c r="D147" s="251" t="s">
        <v>11</v>
      </c>
      <c r="E147" s="251" t="s">
        <v>332</v>
      </c>
      <c r="F147" s="251" t="s">
        <v>318</v>
      </c>
      <c r="G147" s="251" t="s">
        <v>307</v>
      </c>
      <c r="H147" s="251"/>
      <c r="I147" s="251"/>
      <c r="J147" s="251"/>
      <c r="K147" s="251"/>
      <c r="L147" s="251" t="s">
        <v>116</v>
      </c>
      <c r="M147" s="251" t="s">
        <v>125</v>
      </c>
      <c r="N147" s="251" t="s">
        <v>126</v>
      </c>
      <c r="O147" s="252" t="s">
        <v>334</v>
      </c>
      <c r="P147" s="254">
        <v>14400000</v>
      </c>
      <c r="Q147" s="254">
        <v>0</v>
      </c>
      <c r="R147" s="254">
        <v>0</v>
      </c>
      <c r="S147" s="254">
        <v>14400000</v>
      </c>
      <c r="T147" s="254">
        <v>0</v>
      </c>
      <c r="U147" s="254">
        <v>14400000</v>
      </c>
      <c r="V147" s="254">
        <v>0</v>
      </c>
      <c r="W147" s="254">
        <v>0</v>
      </c>
      <c r="X147" s="254">
        <v>0</v>
      </c>
      <c r="Y147" s="254">
        <v>0</v>
      </c>
      <c r="Z147" s="254">
        <v>0</v>
      </c>
      <c r="AA147" s="231"/>
    </row>
    <row r="148" spans="1:27" s="229" customFormat="1" ht="33.75">
      <c r="A148" s="251" t="s">
        <v>79</v>
      </c>
      <c r="B148" s="252" t="s">
        <v>403</v>
      </c>
      <c r="C148" s="253" t="s">
        <v>436</v>
      </c>
      <c r="D148" s="251" t="s">
        <v>430</v>
      </c>
      <c r="E148" s="251" t="s">
        <v>117</v>
      </c>
      <c r="F148" s="251" t="s">
        <v>318</v>
      </c>
      <c r="G148" s="251" t="s">
        <v>307</v>
      </c>
      <c r="H148" s="251"/>
      <c r="I148" s="251"/>
      <c r="J148" s="251"/>
      <c r="K148" s="251"/>
      <c r="L148" s="251" t="s">
        <v>116</v>
      </c>
      <c r="M148" s="251" t="s">
        <v>125</v>
      </c>
      <c r="N148" s="251" t="s">
        <v>118</v>
      </c>
      <c r="O148" s="252" t="s">
        <v>437</v>
      </c>
      <c r="P148" s="254">
        <v>551929943</v>
      </c>
      <c r="Q148" s="254">
        <v>0</v>
      </c>
      <c r="R148" s="254">
        <v>0</v>
      </c>
      <c r="S148" s="254">
        <v>551929943</v>
      </c>
      <c r="T148" s="254">
        <v>0</v>
      </c>
      <c r="U148" s="254">
        <v>551929943</v>
      </c>
      <c r="V148" s="254">
        <v>0</v>
      </c>
      <c r="W148" s="254">
        <v>0</v>
      </c>
      <c r="X148" s="254">
        <v>0</v>
      </c>
      <c r="Y148" s="254">
        <v>0</v>
      </c>
      <c r="Z148" s="254">
        <v>0</v>
      </c>
      <c r="AA148" s="231"/>
    </row>
    <row r="149" spans="1:27" s="229" customFormat="1" ht="33.75">
      <c r="A149" s="251" t="s">
        <v>70</v>
      </c>
      <c r="B149" s="252" t="s">
        <v>404</v>
      </c>
      <c r="C149" s="253" t="s">
        <v>306</v>
      </c>
      <c r="D149" s="251" t="s">
        <v>11</v>
      </c>
      <c r="E149" s="251" t="s">
        <v>307</v>
      </c>
      <c r="F149" s="251" t="s">
        <v>307</v>
      </c>
      <c r="G149" s="251" t="s">
        <v>307</v>
      </c>
      <c r="H149" s="251"/>
      <c r="I149" s="251"/>
      <c r="J149" s="251"/>
      <c r="K149" s="251"/>
      <c r="L149" s="251" t="s">
        <v>116</v>
      </c>
      <c r="M149" s="251" t="s">
        <v>117</v>
      </c>
      <c r="N149" s="251" t="s">
        <v>118</v>
      </c>
      <c r="O149" s="252" t="s">
        <v>308</v>
      </c>
      <c r="P149" s="254">
        <v>1922900000</v>
      </c>
      <c r="Q149" s="254">
        <v>0</v>
      </c>
      <c r="R149" s="254">
        <v>0</v>
      </c>
      <c r="S149" s="254">
        <v>1922900000</v>
      </c>
      <c r="T149" s="254">
        <v>0</v>
      </c>
      <c r="U149" s="254">
        <v>1922900000</v>
      </c>
      <c r="V149" s="254">
        <v>0</v>
      </c>
      <c r="W149" s="254">
        <v>187045904</v>
      </c>
      <c r="X149" s="254">
        <v>187045904</v>
      </c>
      <c r="Y149" s="254">
        <v>187045904</v>
      </c>
      <c r="Z149" s="254">
        <v>187045904</v>
      </c>
      <c r="AA149" s="231"/>
    </row>
    <row r="150" spans="1:27" s="229" customFormat="1" ht="33.75">
      <c r="A150" s="251" t="s">
        <v>70</v>
      </c>
      <c r="B150" s="252" t="s">
        <v>404</v>
      </c>
      <c r="C150" s="253" t="s">
        <v>309</v>
      </c>
      <c r="D150" s="251" t="s">
        <v>11</v>
      </c>
      <c r="E150" s="251" t="s">
        <v>307</v>
      </c>
      <c r="F150" s="251" t="s">
        <v>307</v>
      </c>
      <c r="G150" s="251" t="s">
        <v>310</v>
      </c>
      <c r="H150" s="251"/>
      <c r="I150" s="251"/>
      <c r="J150" s="251"/>
      <c r="K150" s="251"/>
      <c r="L150" s="251" t="s">
        <v>116</v>
      </c>
      <c r="M150" s="251" t="s">
        <v>117</v>
      </c>
      <c r="N150" s="251" t="s">
        <v>118</v>
      </c>
      <c r="O150" s="252" t="s">
        <v>311</v>
      </c>
      <c r="P150" s="254">
        <v>568800000</v>
      </c>
      <c r="Q150" s="254">
        <v>0</v>
      </c>
      <c r="R150" s="254">
        <v>0</v>
      </c>
      <c r="S150" s="254">
        <v>568800000</v>
      </c>
      <c r="T150" s="254">
        <v>0</v>
      </c>
      <c r="U150" s="254">
        <v>568800000</v>
      </c>
      <c r="V150" s="254">
        <v>0</v>
      </c>
      <c r="W150" s="254">
        <v>80815355</v>
      </c>
      <c r="X150" s="254">
        <v>80815355</v>
      </c>
      <c r="Y150" s="254">
        <v>80815355</v>
      </c>
      <c r="Z150" s="254">
        <v>80815355</v>
      </c>
      <c r="AA150" s="231"/>
    </row>
    <row r="151" spans="1:27" s="229" customFormat="1" ht="33.75">
      <c r="A151" s="251" t="s">
        <v>70</v>
      </c>
      <c r="B151" s="252" t="s">
        <v>404</v>
      </c>
      <c r="C151" s="253" t="s">
        <v>312</v>
      </c>
      <c r="D151" s="251" t="s">
        <v>11</v>
      </c>
      <c r="E151" s="251" t="s">
        <v>307</v>
      </c>
      <c r="F151" s="251" t="s">
        <v>307</v>
      </c>
      <c r="G151" s="251" t="s">
        <v>313</v>
      </c>
      <c r="H151" s="251"/>
      <c r="I151" s="251"/>
      <c r="J151" s="251"/>
      <c r="K151" s="251"/>
      <c r="L151" s="251" t="s">
        <v>116</v>
      </c>
      <c r="M151" s="251" t="s">
        <v>117</v>
      </c>
      <c r="N151" s="251" t="s">
        <v>118</v>
      </c>
      <c r="O151" s="252" t="s">
        <v>314</v>
      </c>
      <c r="P151" s="254">
        <v>156617000</v>
      </c>
      <c r="Q151" s="254">
        <v>0</v>
      </c>
      <c r="R151" s="254">
        <v>0</v>
      </c>
      <c r="S151" s="254">
        <v>156617000</v>
      </c>
      <c r="T151" s="254">
        <v>0</v>
      </c>
      <c r="U151" s="254">
        <v>156617000</v>
      </c>
      <c r="V151" s="254">
        <v>0</v>
      </c>
      <c r="W151" s="254">
        <v>16514386</v>
      </c>
      <c r="X151" s="254">
        <v>16514386</v>
      </c>
      <c r="Y151" s="254">
        <v>16514386</v>
      </c>
      <c r="Z151" s="254">
        <v>16514386</v>
      </c>
      <c r="AA151" s="231"/>
    </row>
    <row r="152" spans="1:27" s="229" customFormat="1" ht="33.75">
      <c r="A152" s="251" t="s">
        <v>70</v>
      </c>
      <c r="B152" s="252" t="s">
        <v>404</v>
      </c>
      <c r="C152" s="253" t="s">
        <v>321</v>
      </c>
      <c r="D152" s="251" t="s">
        <v>11</v>
      </c>
      <c r="E152" s="251" t="s">
        <v>313</v>
      </c>
      <c r="F152" s="251" t="s">
        <v>318</v>
      </c>
      <c r="G152" s="251" t="s">
        <v>310</v>
      </c>
      <c r="H152" s="251" t="s">
        <v>322</v>
      </c>
      <c r="I152" s="251"/>
      <c r="J152" s="251"/>
      <c r="K152" s="251"/>
      <c r="L152" s="251" t="s">
        <v>116</v>
      </c>
      <c r="M152" s="251" t="s">
        <v>117</v>
      </c>
      <c r="N152" s="251" t="s">
        <v>118</v>
      </c>
      <c r="O152" s="252" t="s">
        <v>323</v>
      </c>
      <c r="P152" s="254">
        <v>111200000</v>
      </c>
      <c r="Q152" s="254">
        <v>0</v>
      </c>
      <c r="R152" s="254">
        <v>0</v>
      </c>
      <c r="S152" s="254">
        <v>111200000</v>
      </c>
      <c r="T152" s="254">
        <v>0</v>
      </c>
      <c r="U152" s="254">
        <v>111200000</v>
      </c>
      <c r="V152" s="254">
        <v>0</v>
      </c>
      <c r="W152" s="254">
        <v>4701175</v>
      </c>
      <c r="X152" s="254">
        <v>4701175</v>
      </c>
      <c r="Y152" s="254">
        <v>4701175</v>
      </c>
      <c r="Z152" s="254">
        <v>4701175</v>
      </c>
      <c r="AA152" s="231"/>
    </row>
    <row r="153" spans="1:27" s="229" customFormat="1" ht="33.75">
      <c r="A153" s="251" t="s">
        <v>70</v>
      </c>
      <c r="B153" s="252" t="s">
        <v>404</v>
      </c>
      <c r="C153" s="253" t="s">
        <v>330</v>
      </c>
      <c r="D153" s="251" t="s">
        <v>11</v>
      </c>
      <c r="E153" s="251" t="s">
        <v>313</v>
      </c>
      <c r="F153" s="251" t="s">
        <v>318</v>
      </c>
      <c r="G153" s="251" t="s">
        <v>310</v>
      </c>
      <c r="H153" s="251" t="s">
        <v>331</v>
      </c>
      <c r="I153" s="251"/>
      <c r="J153" s="251"/>
      <c r="K153" s="251"/>
      <c r="L153" s="251" t="s">
        <v>116</v>
      </c>
      <c r="M153" s="251" t="s">
        <v>117</v>
      </c>
      <c r="N153" s="251" t="s">
        <v>118</v>
      </c>
      <c r="O153" s="252" t="s">
        <v>352</v>
      </c>
      <c r="P153" s="254">
        <v>11800000</v>
      </c>
      <c r="Q153" s="254">
        <v>0</v>
      </c>
      <c r="R153" s="254">
        <v>0</v>
      </c>
      <c r="S153" s="254">
        <v>11800000</v>
      </c>
      <c r="T153" s="254">
        <v>0</v>
      </c>
      <c r="U153" s="254">
        <v>11800000</v>
      </c>
      <c r="V153" s="254">
        <v>0</v>
      </c>
      <c r="W153" s="254">
        <v>2610717</v>
      </c>
      <c r="X153" s="254">
        <v>2610717</v>
      </c>
      <c r="Y153" s="254">
        <v>2610717</v>
      </c>
      <c r="Z153" s="254">
        <v>2610717</v>
      </c>
      <c r="AA153" s="231"/>
    </row>
    <row r="154" spans="1:27" s="229" customFormat="1" ht="33.75">
      <c r="A154" s="251" t="s">
        <v>70</v>
      </c>
      <c r="B154" s="252" t="s">
        <v>404</v>
      </c>
      <c r="C154" s="253" t="s">
        <v>294</v>
      </c>
      <c r="D154" s="251" t="s">
        <v>11</v>
      </c>
      <c r="E154" s="251" t="s">
        <v>332</v>
      </c>
      <c r="F154" s="251" t="s">
        <v>318</v>
      </c>
      <c r="G154" s="251" t="s">
        <v>307</v>
      </c>
      <c r="H154" s="251"/>
      <c r="I154" s="251"/>
      <c r="J154" s="251"/>
      <c r="K154" s="251"/>
      <c r="L154" s="251" t="s">
        <v>116</v>
      </c>
      <c r="M154" s="251" t="s">
        <v>125</v>
      </c>
      <c r="N154" s="251" t="s">
        <v>126</v>
      </c>
      <c r="O154" s="252" t="s">
        <v>334</v>
      </c>
      <c r="P154" s="254">
        <v>7700000</v>
      </c>
      <c r="Q154" s="254">
        <v>0</v>
      </c>
      <c r="R154" s="254">
        <v>0</v>
      </c>
      <c r="S154" s="254">
        <v>7700000</v>
      </c>
      <c r="T154" s="254">
        <v>0</v>
      </c>
      <c r="U154" s="254">
        <v>0</v>
      </c>
      <c r="V154" s="254">
        <v>7700000</v>
      </c>
      <c r="W154" s="254">
        <v>0</v>
      </c>
      <c r="X154" s="254">
        <v>0</v>
      </c>
      <c r="Y154" s="254">
        <v>0</v>
      </c>
      <c r="Z154" s="254">
        <v>0</v>
      </c>
      <c r="AA154" s="231"/>
    </row>
    <row r="155" spans="1:27" s="229" customFormat="1" ht="33.75">
      <c r="A155" s="251" t="s">
        <v>65</v>
      </c>
      <c r="B155" s="252" t="s">
        <v>405</v>
      </c>
      <c r="C155" s="253" t="s">
        <v>306</v>
      </c>
      <c r="D155" s="251" t="s">
        <v>11</v>
      </c>
      <c r="E155" s="251" t="s">
        <v>307</v>
      </c>
      <c r="F155" s="251" t="s">
        <v>307</v>
      </c>
      <c r="G155" s="251" t="s">
        <v>307</v>
      </c>
      <c r="H155" s="251"/>
      <c r="I155" s="251"/>
      <c r="J155" s="251"/>
      <c r="K155" s="251"/>
      <c r="L155" s="251" t="s">
        <v>116</v>
      </c>
      <c r="M155" s="251" t="s">
        <v>117</v>
      </c>
      <c r="N155" s="251" t="s">
        <v>118</v>
      </c>
      <c r="O155" s="252" t="s">
        <v>308</v>
      </c>
      <c r="P155" s="254">
        <v>3249500000</v>
      </c>
      <c r="Q155" s="254">
        <v>0</v>
      </c>
      <c r="R155" s="254">
        <v>0</v>
      </c>
      <c r="S155" s="254">
        <v>3249500000</v>
      </c>
      <c r="T155" s="254">
        <v>0</v>
      </c>
      <c r="U155" s="254">
        <v>693845831</v>
      </c>
      <c r="V155" s="254">
        <v>2555654169</v>
      </c>
      <c r="W155" s="254">
        <v>693845831</v>
      </c>
      <c r="X155" s="254">
        <v>693845831</v>
      </c>
      <c r="Y155" s="254">
        <v>693845831</v>
      </c>
      <c r="Z155" s="254">
        <v>693845831</v>
      </c>
      <c r="AA155" s="231"/>
    </row>
    <row r="156" spans="1:27" s="229" customFormat="1" ht="33.75">
      <c r="A156" s="251" t="s">
        <v>65</v>
      </c>
      <c r="B156" s="252" t="s">
        <v>405</v>
      </c>
      <c r="C156" s="253" t="s">
        <v>309</v>
      </c>
      <c r="D156" s="251" t="s">
        <v>11</v>
      </c>
      <c r="E156" s="251" t="s">
        <v>307</v>
      </c>
      <c r="F156" s="251" t="s">
        <v>307</v>
      </c>
      <c r="G156" s="251" t="s">
        <v>310</v>
      </c>
      <c r="H156" s="251"/>
      <c r="I156" s="251"/>
      <c r="J156" s="251"/>
      <c r="K156" s="251"/>
      <c r="L156" s="251" t="s">
        <v>116</v>
      </c>
      <c r="M156" s="251" t="s">
        <v>117</v>
      </c>
      <c r="N156" s="251" t="s">
        <v>118</v>
      </c>
      <c r="O156" s="252" t="s">
        <v>311</v>
      </c>
      <c r="P156" s="254">
        <v>743600000</v>
      </c>
      <c r="Q156" s="254">
        <v>0</v>
      </c>
      <c r="R156" s="254">
        <v>0</v>
      </c>
      <c r="S156" s="254">
        <v>743600000</v>
      </c>
      <c r="T156" s="254">
        <v>0</v>
      </c>
      <c r="U156" s="254">
        <v>265243402</v>
      </c>
      <c r="V156" s="254">
        <v>478356598</v>
      </c>
      <c r="W156" s="254">
        <v>265243402</v>
      </c>
      <c r="X156" s="254">
        <v>265243402</v>
      </c>
      <c r="Y156" s="254">
        <v>265243402</v>
      </c>
      <c r="Z156" s="254">
        <v>265243402</v>
      </c>
      <c r="AA156" s="231"/>
    </row>
    <row r="157" spans="1:27" s="229" customFormat="1" ht="33.75">
      <c r="A157" s="251" t="s">
        <v>65</v>
      </c>
      <c r="B157" s="252" t="s">
        <v>405</v>
      </c>
      <c r="C157" s="253" t="s">
        <v>312</v>
      </c>
      <c r="D157" s="251" t="s">
        <v>11</v>
      </c>
      <c r="E157" s="251" t="s">
        <v>307</v>
      </c>
      <c r="F157" s="251" t="s">
        <v>307</v>
      </c>
      <c r="G157" s="251" t="s">
        <v>313</v>
      </c>
      <c r="H157" s="251"/>
      <c r="I157" s="251"/>
      <c r="J157" s="251"/>
      <c r="K157" s="251"/>
      <c r="L157" s="251" t="s">
        <v>116</v>
      </c>
      <c r="M157" s="251" t="s">
        <v>117</v>
      </c>
      <c r="N157" s="251" t="s">
        <v>118</v>
      </c>
      <c r="O157" s="252" t="s">
        <v>314</v>
      </c>
      <c r="P157" s="254">
        <v>177000000</v>
      </c>
      <c r="Q157" s="254">
        <v>0</v>
      </c>
      <c r="R157" s="254">
        <v>0</v>
      </c>
      <c r="S157" s="254">
        <v>177000000</v>
      </c>
      <c r="T157" s="254">
        <v>0</v>
      </c>
      <c r="U157" s="254">
        <v>40910767</v>
      </c>
      <c r="V157" s="254">
        <v>136089233</v>
      </c>
      <c r="W157" s="254">
        <v>40910767</v>
      </c>
      <c r="X157" s="254">
        <v>40910767</v>
      </c>
      <c r="Y157" s="254">
        <v>40910767</v>
      </c>
      <c r="Z157" s="254">
        <v>40910767</v>
      </c>
      <c r="AA157" s="231"/>
    </row>
    <row r="158" spans="1:27" s="229" customFormat="1" ht="33.75">
      <c r="A158" s="251" t="s">
        <v>65</v>
      </c>
      <c r="B158" s="252" t="s">
        <v>405</v>
      </c>
      <c r="C158" s="253" t="s">
        <v>294</v>
      </c>
      <c r="D158" s="251" t="s">
        <v>11</v>
      </c>
      <c r="E158" s="251" t="s">
        <v>332</v>
      </c>
      <c r="F158" s="251" t="s">
        <v>318</v>
      </c>
      <c r="G158" s="251" t="s">
        <v>307</v>
      </c>
      <c r="H158" s="251"/>
      <c r="I158" s="251"/>
      <c r="J158" s="251"/>
      <c r="K158" s="251"/>
      <c r="L158" s="251" t="s">
        <v>116</v>
      </c>
      <c r="M158" s="251" t="s">
        <v>125</v>
      </c>
      <c r="N158" s="251" t="s">
        <v>126</v>
      </c>
      <c r="O158" s="252" t="s">
        <v>334</v>
      </c>
      <c r="P158" s="254">
        <v>13200000</v>
      </c>
      <c r="Q158" s="254">
        <v>0</v>
      </c>
      <c r="R158" s="254">
        <v>0</v>
      </c>
      <c r="S158" s="254">
        <v>13200000</v>
      </c>
      <c r="T158" s="254">
        <v>0</v>
      </c>
      <c r="U158" s="254">
        <v>0</v>
      </c>
      <c r="V158" s="254">
        <v>13200000</v>
      </c>
      <c r="W158" s="254">
        <v>0</v>
      </c>
      <c r="X158" s="254">
        <v>0</v>
      </c>
      <c r="Y158" s="254">
        <v>0</v>
      </c>
      <c r="Z158" s="254">
        <v>0</v>
      </c>
      <c r="AA158" s="231"/>
    </row>
    <row r="159" spans="1:27" s="229" customFormat="1" ht="33.75">
      <c r="A159" s="251" t="s">
        <v>65</v>
      </c>
      <c r="B159" s="252" t="s">
        <v>405</v>
      </c>
      <c r="C159" s="253" t="s">
        <v>436</v>
      </c>
      <c r="D159" s="251" t="s">
        <v>430</v>
      </c>
      <c r="E159" s="251" t="s">
        <v>117</v>
      </c>
      <c r="F159" s="251" t="s">
        <v>318</v>
      </c>
      <c r="G159" s="251" t="s">
        <v>307</v>
      </c>
      <c r="H159" s="251"/>
      <c r="I159" s="251"/>
      <c r="J159" s="251"/>
      <c r="K159" s="251"/>
      <c r="L159" s="251" t="s">
        <v>116</v>
      </c>
      <c r="M159" s="251" t="s">
        <v>125</v>
      </c>
      <c r="N159" s="251" t="s">
        <v>118</v>
      </c>
      <c r="O159" s="252" t="s">
        <v>437</v>
      </c>
      <c r="P159" s="254">
        <v>2648764088</v>
      </c>
      <c r="Q159" s="254">
        <v>0</v>
      </c>
      <c r="R159" s="254">
        <v>0</v>
      </c>
      <c r="S159" s="254">
        <v>2648764088</v>
      </c>
      <c r="T159" s="254">
        <v>0</v>
      </c>
      <c r="U159" s="254">
        <v>0</v>
      </c>
      <c r="V159" s="254">
        <v>2648764088</v>
      </c>
      <c r="W159" s="254">
        <v>0</v>
      </c>
      <c r="X159" s="254">
        <v>0</v>
      </c>
      <c r="Y159" s="254">
        <v>0</v>
      </c>
      <c r="Z159" s="254">
        <v>0</v>
      </c>
      <c r="AA159" s="231"/>
    </row>
    <row r="160" spans="1:27" s="229" customFormat="1" ht="33.75">
      <c r="A160" s="251" t="s">
        <v>67</v>
      </c>
      <c r="B160" s="252" t="s">
        <v>406</v>
      </c>
      <c r="C160" s="253" t="s">
        <v>306</v>
      </c>
      <c r="D160" s="251" t="s">
        <v>11</v>
      </c>
      <c r="E160" s="251" t="s">
        <v>307</v>
      </c>
      <c r="F160" s="251" t="s">
        <v>307</v>
      </c>
      <c r="G160" s="251" t="s">
        <v>307</v>
      </c>
      <c r="H160" s="251"/>
      <c r="I160" s="251"/>
      <c r="J160" s="251"/>
      <c r="K160" s="251"/>
      <c r="L160" s="251" t="s">
        <v>116</v>
      </c>
      <c r="M160" s="251" t="s">
        <v>117</v>
      </c>
      <c r="N160" s="251" t="s">
        <v>118</v>
      </c>
      <c r="O160" s="252" t="s">
        <v>308</v>
      </c>
      <c r="P160" s="254">
        <v>2504000000</v>
      </c>
      <c r="Q160" s="254">
        <v>0</v>
      </c>
      <c r="R160" s="254">
        <v>0</v>
      </c>
      <c r="S160" s="254">
        <v>2504000000</v>
      </c>
      <c r="T160" s="254">
        <v>0</v>
      </c>
      <c r="U160" s="254">
        <v>0</v>
      </c>
      <c r="V160" s="254">
        <v>2504000000</v>
      </c>
      <c r="W160" s="254">
        <v>0</v>
      </c>
      <c r="X160" s="254">
        <v>0</v>
      </c>
      <c r="Y160" s="254">
        <v>0</v>
      </c>
      <c r="Z160" s="254">
        <v>0</v>
      </c>
      <c r="AA160" s="231"/>
    </row>
    <row r="161" spans="1:27" s="229" customFormat="1" ht="33.75">
      <c r="A161" s="251" t="s">
        <v>67</v>
      </c>
      <c r="B161" s="252" t="s">
        <v>406</v>
      </c>
      <c r="C161" s="253" t="s">
        <v>309</v>
      </c>
      <c r="D161" s="251" t="s">
        <v>11</v>
      </c>
      <c r="E161" s="251" t="s">
        <v>307</v>
      </c>
      <c r="F161" s="251" t="s">
        <v>307</v>
      </c>
      <c r="G161" s="251" t="s">
        <v>310</v>
      </c>
      <c r="H161" s="251"/>
      <c r="I161" s="251"/>
      <c r="J161" s="251"/>
      <c r="K161" s="251"/>
      <c r="L161" s="251" t="s">
        <v>116</v>
      </c>
      <c r="M161" s="251" t="s">
        <v>117</v>
      </c>
      <c r="N161" s="251" t="s">
        <v>118</v>
      </c>
      <c r="O161" s="252" t="s">
        <v>311</v>
      </c>
      <c r="P161" s="254">
        <v>676900000</v>
      </c>
      <c r="Q161" s="254">
        <v>0</v>
      </c>
      <c r="R161" s="254">
        <v>0</v>
      </c>
      <c r="S161" s="254">
        <v>676900000</v>
      </c>
      <c r="T161" s="254">
        <v>0</v>
      </c>
      <c r="U161" s="254">
        <v>0</v>
      </c>
      <c r="V161" s="254">
        <v>676900000</v>
      </c>
      <c r="W161" s="254">
        <v>0</v>
      </c>
      <c r="X161" s="254">
        <v>0</v>
      </c>
      <c r="Y161" s="254">
        <v>0</v>
      </c>
      <c r="Z161" s="254">
        <v>0</v>
      </c>
      <c r="AA161" s="231"/>
    </row>
    <row r="162" spans="1:27" s="229" customFormat="1" ht="33.75">
      <c r="A162" s="251" t="s">
        <v>67</v>
      </c>
      <c r="B162" s="252" t="s">
        <v>406</v>
      </c>
      <c r="C162" s="253" t="s">
        <v>312</v>
      </c>
      <c r="D162" s="251" t="s">
        <v>11</v>
      </c>
      <c r="E162" s="251" t="s">
        <v>307</v>
      </c>
      <c r="F162" s="251" t="s">
        <v>307</v>
      </c>
      <c r="G162" s="251" t="s">
        <v>313</v>
      </c>
      <c r="H162" s="251"/>
      <c r="I162" s="251"/>
      <c r="J162" s="251"/>
      <c r="K162" s="251"/>
      <c r="L162" s="251" t="s">
        <v>116</v>
      </c>
      <c r="M162" s="251" t="s">
        <v>117</v>
      </c>
      <c r="N162" s="251" t="s">
        <v>118</v>
      </c>
      <c r="O162" s="252" t="s">
        <v>314</v>
      </c>
      <c r="P162" s="254">
        <v>471200000</v>
      </c>
      <c r="Q162" s="254">
        <v>0</v>
      </c>
      <c r="R162" s="254">
        <v>0</v>
      </c>
      <c r="S162" s="254">
        <v>471200000</v>
      </c>
      <c r="T162" s="254">
        <v>0</v>
      </c>
      <c r="U162" s="254">
        <v>0</v>
      </c>
      <c r="V162" s="254">
        <v>471200000</v>
      </c>
      <c r="W162" s="254">
        <v>0</v>
      </c>
      <c r="X162" s="254">
        <v>0</v>
      </c>
      <c r="Y162" s="254">
        <v>0</v>
      </c>
      <c r="Z162" s="254">
        <v>0</v>
      </c>
      <c r="AA162" s="231"/>
    </row>
    <row r="163" spans="1:27" s="229" customFormat="1" ht="33.75">
      <c r="A163" s="251" t="s">
        <v>67</v>
      </c>
      <c r="B163" s="252" t="s">
        <v>406</v>
      </c>
      <c r="C163" s="253" t="s">
        <v>432</v>
      </c>
      <c r="D163" s="251" t="s">
        <v>11</v>
      </c>
      <c r="E163" s="251" t="s">
        <v>310</v>
      </c>
      <c r="F163" s="251"/>
      <c r="G163" s="251"/>
      <c r="H163" s="251"/>
      <c r="I163" s="251"/>
      <c r="J163" s="251"/>
      <c r="K163" s="251"/>
      <c r="L163" s="251" t="s">
        <v>116</v>
      </c>
      <c r="M163" s="251" t="s">
        <v>117</v>
      </c>
      <c r="N163" s="251" t="s">
        <v>118</v>
      </c>
      <c r="O163" s="252" t="s">
        <v>433</v>
      </c>
      <c r="P163" s="254">
        <v>325200000</v>
      </c>
      <c r="Q163" s="254">
        <v>0</v>
      </c>
      <c r="R163" s="254">
        <v>0</v>
      </c>
      <c r="S163" s="254">
        <v>325200000</v>
      </c>
      <c r="T163" s="254">
        <v>0</v>
      </c>
      <c r="U163" s="254">
        <v>0</v>
      </c>
      <c r="V163" s="254">
        <v>325200000</v>
      </c>
      <c r="W163" s="254">
        <v>0</v>
      </c>
      <c r="X163" s="254">
        <v>0</v>
      </c>
      <c r="Y163" s="254">
        <v>0</v>
      </c>
      <c r="Z163" s="254">
        <v>0</v>
      </c>
      <c r="AA163" s="231"/>
    </row>
    <row r="164" spans="1:27" s="229" customFormat="1" ht="33.75">
      <c r="A164" s="251" t="s">
        <v>67</v>
      </c>
      <c r="B164" s="252" t="s">
        <v>406</v>
      </c>
      <c r="C164" s="253" t="s">
        <v>298</v>
      </c>
      <c r="D164" s="251" t="s">
        <v>11</v>
      </c>
      <c r="E164" s="251" t="s">
        <v>332</v>
      </c>
      <c r="F164" s="251" t="s">
        <v>307</v>
      </c>
      <c r="G164" s="251"/>
      <c r="H164" s="251"/>
      <c r="I164" s="251"/>
      <c r="J164" s="251"/>
      <c r="K164" s="251"/>
      <c r="L164" s="251" t="s">
        <v>116</v>
      </c>
      <c r="M164" s="251" t="s">
        <v>117</v>
      </c>
      <c r="N164" s="251" t="s">
        <v>118</v>
      </c>
      <c r="O164" s="252" t="s">
        <v>333</v>
      </c>
      <c r="P164" s="254">
        <v>34000000</v>
      </c>
      <c r="Q164" s="254">
        <v>0</v>
      </c>
      <c r="R164" s="254">
        <v>0</v>
      </c>
      <c r="S164" s="254">
        <v>34000000</v>
      </c>
      <c r="T164" s="254">
        <v>0</v>
      </c>
      <c r="U164" s="254">
        <v>0</v>
      </c>
      <c r="V164" s="254">
        <v>34000000</v>
      </c>
      <c r="W164" s="254">
        <v>0</v>
      </c>
      <c r="X164" s="254">
        <v>0</v>
      </c>
      <c r="Y164" s="254">
        <v>0</v>
      </c>
      <c r="Z164" s="254">
        <v>0</v>
      </c>
      <c r="AA164" s="231"/>
    </row>
    <row r="165" spans="1:27" s="229" customFormat="1" ht="90">
      <c r="A165" s="251" t="s">
        <v>67</v>
      </c>
      <c r="B165" s="252" t="s">
        <v>406</v>
      </c>
      <c r="C165" s="253" t="s">
        <v>376</v>
      </c>
      <c r="D165" s="251" t="s">
        <v>16</v>
      </c>
      <c r="E165" s="251" t="s">
        <v>138</v>
      </c>
      <c r="F165" s="251" t="s">
        <v>132</v>
      </c>
      <c r="G165" s="251" t="s">
        <v>123</v>
      </c>
      <c r="H165" s="251" t="s">
        <v>84</v>
      </c>
      <c r="I165" s="251" t="s">
        <v>84</v>
      </c>
      <c r="J165" s="251" t="s">
        <v>84</v>
      </c>
      <c r="K165" s="251" t="s">
        <v>84</v>
      </c>
      <c r="L165" s="251" t="s">
        <v>116</v>
      </c>
      <c r="M165" s="251" t="s">
        <v>127</v>
      </c>
      <c r="N165" s="251" t="s">
        <v>126</v>
      </c>
      <c r="O165" s="252" t="s">
        <v>533</v>
      </c>
      <c r="P165" s="254">
        <v>1900594103</v>
      </c>
      <c r="Q165" s="254">
        <v>0</v>
      </c>
      <c r="R165" s="254">
        <v>0</v>
      </c>
      <c r="S165" s="254">
        <v>1900594103</v>
      </c>
      <c r="T165" s="254">
        <v>0</v>
      </c>
      <c r="U165" s="254">
        <v>0</v>
      </c>
      <c r="V165" s="254">
        <v>1900594103</v>
      </c>
      <c r="W165" s="254">
        <v>0</v>
      </c>
      <c r="X165" s="254">
        <v>0</v>
      </c>
      <c r="Y165" s="254">
        <v>0</v>
      </c>
      <c r="Z165" s="254">
        <v>0</v>
      </c>
      <c r="AA165" s="231"/>
    </row>
    <row r="166" spans="1:27" s="229" customFormat="1" ht="33.75">
      <c r="A166" s="251" t="s">
        <v>63</v>
      </c>
      <c r="B166" s="252" t="s">
        <v>407</v>
      </c>
      <c r="C166" s="253" t="s">
        <v>306</v>
      </c>
      <c r="D166" s="251" t="s">
        <v>11</v>
      </c>
      <c r="E166" s="251" t="s">
        <v>307</v>
      </c>
      <c r="F166" s="251" t="s">
        <v>307</v>
      </c>
      <c r="G166" s="251" t="s">
        <v>307</v>
      </c>
      <c r="H166" s="251"/>
      <c r="I166" s="251"/>
      <c r="J166" s="251"/>
      <c r="K166" s="251"/>
      <c r="L166" s="251" t="s">
        <v>116</v>
      </c>
      <c r="M166" s="251" t="s">
        <v>117</v>
      </c>
      <c r="N166" s="251" t="s">
        <v>118</v>
      </c>
      <c r="O166" s="252" t="s">
        <v>308</v>
      </c>
      <c r="P166" s="254">
        <v>2212000000</v>
      </c>
      <c r="Q166" s="254">
        <v>0</v>
      </c>
      <c r="R166" s="254">
        <v>0</v>
      </c>
      <c r="S166" s="254">
        <v>2212000000</v>
      </c>
      <c r="T166" s="254">
        <v>0</v>
      </c>
      <c r="U166" s="254">
        <v>156000000</v>
      </c>
      <c r="V166" s="254">
        <v>2056000000</v>
      </c>
      <c r="W166" s="254">
        <v>156000000</v>
      </c>
      <c r="X166" s="254">
        <v>156000000</v>
      </c>
      <c r="Y166" s="254">
        <v>156000000</v>
      </c>
      <c r="Z166" s="254">
        <v>156000000</v>
      </c>
      <c r="AA166" s="231"/>
    </row>
    <row r="167" spans="1:27" s="229" customFormat="1" ht="33.75">
      <c r="A167" s="251" t="s">
        <v>63</v>
      </c>
      <c r="B167" s="252" t="s">
        <v>407</v>
      </c>
      <c r="C167" s="253" t="s">
        <v>309</v>
      </c>
      <c r="D167" s="251" t="s">
        <v>11</v>
      </c>
      <c r="E167" s="251" t="s">
        <v>307</v>
      </c>
      <c r="F167" s="251" t="s">
        <v>307</v>
      </c>
      <c r="G167" s="251" t="s">
        <v>310</v>
      </c>
      <c r="H167" s="251"/>
      <c r="I167" s="251"/>
      <c r="J167" s="251"/>
      <c r="K167" s="251"/>
      <c r="L167" s="251" t="s">
        <v>116</v>
      </c>
      <c r="M167" s="251" t="s">
        <v>117</v>
      </c>
      <c r="N167" s="251" t="s">
        <v>118</v>
      </c>
      <c r="O167" s="252" t="s">
        <v>311</v>
      </c>
      <c r="P167" s="254">
        <v>583000000</v>
      </c>
      <c r="Q167" s="254">
        <v>0</v>
      </c>
      <c r="R167" s="254">
        <v>0</v>
      </c>
      <c r="S167" s="254">
        <v>583000000</v>
      </c>
      <c r="T167" s="254">
        <v>0</v>
      </c>
      <c r="U167" s="254">
        <v>74000000</v>
      </c>
      <c r="V167" s="254">
        <v>509000000</v>
      </c>
      <c r="W167" s="254">
        <v>74000000</v>
      </c>
      <c r="X167" s="254">
        <v>74000000</v>
      </c>
      <c r="Y167" s="254">
        <v>74000000</v>
      </c>
      <c r="Z167" s="254">
        <v>74000000</v>
      </c>
      <c r="AA167" s="231"/>
    </row>
    <row r="168" spans="1:27" s="229" customFormat="1" ht="33.75">
      <c r="A168" s="251" t="s">
        <v>63</v>
      </c>
      <c r="B168" s="252" t="s">
        <v>407</v>
      </c>
      <c r="C168" s="253" t="s">
        <v>312</v>
      </c>
      <c r="D168" s="251" t="s">
        <v>11</v>
      </c>
      <c r="E168" s="251" t="s">
        <v>307</v>
      </c>
      <c r="F168" s="251" t="s">
        <v>307</v>
      </c>
      <c r="G168" s="251" t="s">
        <v>313</v>
      </c>
      <c r="H168" s="251"/>
      <c r="I168" s="251"/>
      <c r="J168" s="251"/>
      <c r="K168" s="251"/>
      <c r="L168" s="251" t="s">
        <v>116</v>
      </c>
      <c r="M168" s="251" t="s">
        <v>117</v>
      </c>
      <c r="N168" s="251" t="s">
        <v>118</v>
      </c>
      <c r="O168" s="252" t="s">
        <v>314</v>
      </c>
      <c r="P168" s="254">
        <v>323000000</v>
      </c>
      <c r="Q168" s="254">
        <v>0</v>
      </c>
      <c r="R168" s="254">
        <v>0</v>
      </c>
      <c r="S168" s="254">
        <v>323000000</v>
      </c>
      <c r="T168" s="254">
        <v>0</v>
      </c>
      <c r="U168" s="254">
        <v>20000000</v>
      </c>
      <c r="V168" s="254">
        <v>303000000</v>
      </c>
      <c r="W168" s="254">
        <v>20000000</v>
      </c>
      <c r="X168" s="254">
        <v>20000000</v>
      </c>
      <c r="Y168" s="254">
        <v>20000000</v>
      </c>
      <c r="Z168" s="254">
        <v>20000000</v>
      </c>
      <c r="AA168" s="231"/>
    </row>
    <row r="169" spans="1:27" s="229" customFormat="1" ht="33.75">
      <c r="A169" s="251" t="s">
        <v>63</v>
      </c>
      <c r="B169" s="252" t="s">
        <v>407</v>
      </c>
      <c r="C169" s="253" t="s">
        <v>432</v>
      </c>
      <c r="D169" s="251" t="s">
        <v>11</v>
      </c>
      <c r="E169" s="251" t="s">
        <v>310</v>
      </c>
      <c r="F169" s="251"/>
      <c r="G169" s="251"/>
      <c r="H169" s="251"/>
      <c r="I169" s="251"/>
      <c r="J169" s="251"/>
      <c r="K169" s="251"/>
      <c r="L169" s="251" t="s">
        <v>116</v>
      </c>
      <c r="M169" s="251" t="s">
        <v>117</v>
      </c>
      <c r="N169" s="251" t="s">
        <v>118</v>
      </c>
      <c r="O169" s="252" t="s">
        <v>433</v>
      </c>
      <c r="P169" s="254">
        <v>50000000</v>
      </c>
      <c r="Q169" s="254">
        <v>0</v>
      </c>
      <c r="R169" s="254">
        <v>0</v>
      </c>
      <c r="S169" s="254">
        <v>50000000</v>
      </c>
      <c r="T169" s="254">
        <v>0</v>
      </c>
      <c r="U169" s="254">
        <v>4000000</v>
      </c>
      <c r="V169" s="254">
        <v>46000000</v>
      </c>
      <c r="W169" s="254">
        <v>4000000</v>
      </c>
      <c r="X169" s="254">
        <v>4000000</v>
      </c>
      <c r="Y169" s="254">
        <v>4000000</v>
      </c>
      <c r="Z169" s="254">
        <v>4000000</v>
      </c>
      <c r="AA169" s="231"/>
    </row>
    <row r="170" spans="1:27" s="229" customFormat="1" ht="33.75">
      <c r="A170" s="251" t="s">
        <v>63</v>
      </c>
      <c r="B170" s="252" t="s">
        <v>407</v>
      </c>
      <c r="C170" s="253" t="s">
        <v>294</v>
      </c>
      <c r="D170" s="251" t="s">
        <v>11</v>
      </c>
      <c r="E170" s="251" t="s">
        <v>332</v>
      </c>
      <c r="F170" s="251" t="s">
        <v>318</v>
      </c>
      <c r="G170" s="251" t="s">
        <v>307</v>
      </c>
      <c r="H170" s="251"/>
      <c r="I170" s="251"/>
      <c r="J170" s="251"/>
      <c r="K170" s="251"/>
      <c r="L170" s="251" t="s">
        <v>116</v>
      </c>
      <c r="M170" s="251" t="s">
        <v>125</v>
      </c>
      <c r="N170" s="251" t="s">
        <v>126</v>
      </c>
      <c r="O170" s="252" t="s">
        <v>334</v>
      </c>
      <c r="P170" s="254">
        <v>7000000</v>
      </c>
      <c r="Q170" s="254">
        <v>0</v>
      </c>
      <c r="R170" s="254">
        <v>0</v>
      </c>
      <c r="S170" s="254">
        <v>7000000</v>
      </c>
      <c r="T170" s="254">
        <v>0</v>
      </c>
      <c r="U170" s="254">
        <v>0</v>
      </c>
      <c r="V170" s="254">
        <v>7000000</v>
      </c>
      <c r="W170" s="254">
        <v>0</v>
      </c>
      <c r="X170" s="254">
        <v>0</v>
      </c>
      <c r="Y170" s="254">
        <v>0</v>
      </c>
      <c r="Z170" s="254">
        <v>0</v>
      </c>
      <c r="AA170" s="231"/>
    </row>
    <row r="171" spans="1:27" s="229" customFormat="1" ht="33.75">
      <c r="A171" s="251" t="s">
        <v>63</v>
      </c>
      <c r="B171" s="252" t="s">
        <v>407</v>
      </c>
      <c r="C171" s="253" t="s">
        <v>436</v>
      </c>
      <c r="D171" s="251" t="s">
        <v>430</v>
      </c>
      <c r="E171" s="251" t="s">
        <v>117</v>
      </c>
      <c r="F171" s="251" t="s">
        <v>318</v>
      </c>
      <c r="G171" s="251" t="s">
        <v>307</v>
      </c>
      <c r="H171" s="251"/>
      <c r="I171" s="251"/>
      <c r="J171" s="251"/>
      <c r="K171" s="251"/>
      <c r="L171" s="251" t="s">
        <v>116</v>
      </c>
      <c r="M171" s="251" t="s">
        <v>125</v>
      </c>
      <c r="N171" s="251" t="s">
        <v>118</v>
      </c>
      <c r="O171" s="252" t="s">
        <v>437</v>
      </c>
      <c r="P171" s="254">
        <v>516190110</v>
      </c>
      <c r="Q171" s="254">
        <v>0</v>
      </c>
      <c r="R171" s="254">
        <v>0</v>
      </c>
      <c r="S171" s="254">
        <v>516190110</v>
      </c>
      <c r="T171" s="254">
        <v>0</v>
      </c>
      <c r="U171" s="254">
        <v>0</v>
      </c>
      <c r="V171" s="254">
        <v>516190110</v>
      </c>
      <c r="W171" s="254">
        <v>0</v>
      </c>
      <c r="X171" s="254">
        <v>0</v>
      </c>
      <c r="Y171" s="254">
        <v>0</v>
      </c>
      <c r="Z171" s="254">
        <v>0</v>
      </c>
      <c r="AA171" s="231"/>
    </row>
    <row r="172" spans="1:27" s="229" customFormat="1" ht="22.5">
      <c r="A172" s="251" t="s">
        <v>75</v>
      </c>
      <c r="B172" s="252" t="s">
        <v>408</v>
      </c>
      <c r="C172" s="253" t="s">
        <v>306</v>
      </c>
      <c r="D172" s="251" t="s">
        <v>11</v>
      </c>
      <c r="E172" s="251" t="s">
        <v>307</v>
      </c>
      <c r="F172" s="251" t="s">
        <v>307</v>
      </c>
      <c r="G172" s="251" t="s">
        <v>307</v>
      </c>
      <c r="H172" s="251"/>
      <c r="I172" s="251"/>
      <c r="J172" s="251"/>
      <c r="K172" s="251"/>
      <c r="L172" s="251" t="s">
        <v>116</v>
      </c>
      <c r="M172" s="251" t="s">
        <v>117</v>
      </c>
      <c r="N172" s="251" t="s">
        <v>118</v>
      </c>
      <c r="O172" s="252" t="s">
        <v>308</v>
      </c>
      <c r="P172" s="254">
        <v>5206000000</v>
      </c>
      <c r="Q172" s="254">
        <v>0</v>
      </c>
      <c r="R172" s="254">
        <v>0</v>
      </c>
      <c r="S172" s="254">
        <v>5206000000</v>
      </c>
      <c r="T172" s="254">
        <v>0</v>
      </c>
      <c r="U172" s="254">
        <v>5206000000</v>
      </c>
      <c r="V172" s="254">
        <v>0</v>
      </c>
      <c r="W172" s="254">
        <v>192260401</v>
      </c>
      <c r="X172" s="254">
        <v>192260401</v>
      </c>
      <c r="Y172" s="254">
        <v>192260401</v>
      </c>
      <c r="Z172" s="254">
        <v>192260401</v>
      </c>
      <c r="AA172" s="231"/>
    </row>
    <row r="173" spans="1:27" s="229" customFormat="1" ht="22.5">
      <c r="A173" s="251" t="s">
        <v>75</v>
      </c>
      <c r="B173" s="252" t="s">
        <v>408</v>
      </c>
      <c r="C173" s="253" t="s">
        <v>309</v>
      </c>
      <c r="D173" s="251" t="s">
        <v>11</v>
      </c>
      <c r="E173" s="251" t="s">
        <v>307</v>
      </c>
      <c r="F173" s="251" t="s">
        <v>307</v>
      </c>
      <c r="G173" s="251" t="s">
        <v>310</v>
      </c>
      <c r="H173" s="251"/>
      <c r="I173" s="251"/>
      <c r="J173" s="251"/>
      <c r="K173" s="251"/>
      <c r="L173" s="251" t="s">
        <v>116</v>
      </c>
      <c r="M173" s="251" t="s">
        <v>117</v>
      </c>
      <c r="N173" s="251" t="s">
        <v>118</v>
      </c>
      <c r="O173" s="252" t="s">
        <v>311</v>
      </c>
      <c r="P173" s="254">
        <v>1000000000</v>
      </c>
      <c r="Q173" s="254">
        <v>0</v>
      </c>
      <c r="R173" s="254">
        <v>0</v>
      </c>
      <c r="S173" s="254">
        <v>1000000000</v>
      </c>
      <c r="T173" s="254">
        <v>0</v>
      </c>
      <c r="U173" s="254">
        <v>1000000000</v>
      </c>
      <c r="V173" s="254">
        <v>0</v>
      </c>
      <c r="W173" s="254">
        <v>227668388</v>
      </c>
      <c r="X173" s="254">
        <v>227668388</v>
      </c>
      <c r="Y173" s="254">
        <v>227668388</v>
      </c>
      <c r="Z173" s="254">
        <v>227668388</v>
      </c>
      <c r="AA173" s="231"/>
    </row>
    <row r="174" spans="1:27" s="229" customFormat="1" ht="33.75">
      <c r="A174" s="251" t="s">
        <v>75</v>
      </c>
      <c r="B174" s="252" t="s">
        <v>408</v>
      </c>
      <c r="C174" s="253" t="s">
        <v>312</v>
      </c>
      <c r="D174" s="251" t="s">
        <v>11</v>
      </c>
      <c r="E174" s="251" t="s">
        <v>307</v>
      </c>
      <c r="F174" s="251" t="s">
        <v>307</v>
      </c>
      <c r="G174" s="251" t="s">
        <v>313</v>
      </c>
      <c r="H174" s="251"/>
      <c r="I174" s="251"/>
      <c r="J174" s="251"/>
      <c r="K174" s="251"/>
      <c r="L174" s="251" t="s">
        <v>116</v>
      </c>
      <c r="M174" s="251" t="s">
        <v>117</v>
      </c>
      <c r="N174" s="251" t="s">
        <v>118</v>
      </c>
      <c r="O174" s="252" t="s">
        <v>314</v>
      </c>
      <c r="P174" s="254">
        <v>70000000</v>
      </c>
      <c r="Q174" s="254">
        <v>0</v>
      </c>
      <c r="R174" s="254">
        <v>0</v>
      </c>
      <c r="S174" s="254">
        <v>70000000</v>
      </c>
      <c r="T174" s="254">
        <v>0</v>
      </c>
      <c r="U174" s="254">
        <v>70000000</v>
      </c>
      <c r="V174" s="254">
        <v>0</v>
      </c>
      <c r="W174" s="254">
        <v>24794002</v>
      </c>
      <c r="X174" s="254">
        <v>24794002</v>
      </c>
      <c r="Y174" s="254">
        <v>24794002</v>
      </c>
      <c r="Z174" s="254">
        <v>24794002</v>
      </c>
      <c r="AA174" s="231"/>
    </row>
    <row r="175" spans="1:27" s="229" customFormat="1" ht="22.5">
      <c r="A175" s="251" t="s">
        <v>75</v>
      </c>
      <c r="B175" s="252" t="s">
        <v>408</v>
      </c>
      <c r="C175" s="253" t="s">
        <v>432</v>
      </c>
      <c r="D175" s="251" t="s">
        <v>11</v>
      </c>
      <c r="E175" s="251" t="s">
        <v>310</v>
      </c>
      <c r="F175" s="251"/>
      <c r="G175" s="251"/>
      <c r="H175" s="251"/>
      <c r="I175" s="251"/>
      <c r="J175" s="251"/>
      <c r="K175" s="251"/>
      <c r="L175" s="251" t="s">
        <v>116</v>
      </c>
      <c r="M175" s="251" t="s">
        <v>117</v>
      </c>
      <c r="N175" s="251" t="s">
        <v>118</v>
      </c>
      <c r="O175" s="252" t="s">
        <v>433</v>
      </c>
      <c r="P175" s="254">
        <v>13000000</v>
      </c>
      <c r="Q175" s="254">
        <v>0</v>
      </c>
      <c r="R175" s="254">
        <v>0</v>
      </c>
      <c r="S175" s="254">
        <v>13000000</v>
      </c>
      <c r="T175" s="254">
        <v>0</v>
      </c>
      <c r="U175" s="254">
        <v>13000000</v>
      </c>
      <c r="V175" s="254">
        <v>0</v>
      </c>
      <c r="W175" s="254">
        <v>13000000</v>
      </c>
      <c r="X175" s="254">
        <v>0</v>
      </c>
      <c r="Y175" s="254">
        <v>0</v>
      </c>
      <c r="Z175" s="254">
        <v>0</v>
      </c>
      <c r="AA175" s="231"/>
    </row>
    <row r="176" spans="1:27" s="229" customFormat="1" ht="22.5">
      <c r="A176" s="251" t="s">
        <v>75</v>
      </c>
      <c r="B176" s="252" t="s">
        <v>408</v>
      </c>
      <c r="C176" s="253" t="s">
        <v>436</v>
      </c>
      <c r="D176" s="251" t="s">
        <v>430</v>
      </c>
      <c r="E176" s="251" t="s">
        <v>117</v>
      </c>
      <c r="F176" s="251" t="s">
        <v>318</v>
      </c>
      <c r="G176" s="251" t="s">
        <v>307</v>
      </c>
      <c r="H176" s="251"/>
      <c r="I176" s="251"/>
      <c r="J176" s="251"/>
      <c r="K176" s="251"/>
      <c r="L176" s="251" t="s">
        <v>116</v>
      </c>
      <c r="M176" s="251" t="s">
        <v>125</v>
      </c>
      <c r="N176" s="251" t="s">
        <v>118</v>
      </c>
      <c r="O176" s="252" t="s">
        <v>437</v>
      </c>
      <c r="P176" s="254">
        <v>330726656</v>
      </c>
      <c r="Q176" s="254">
        <v>0</v>
      </c>
      <c r="R176" s="254">
        <v>0</v>
      </c>
      <c r="S176" s="254">
        <v>330726656</v>
      </c>
      <c r="T176" s="254">
        <v>0</v>
      </c>
      <c r="U176" s="254">
        <v>0</v>
      </c>
      <c r="V176" s="254">
        <v>330726656</v>
      </c>
      <c r="W176" s="254">
        <v>0</v>
      </c>
      <c r="X176" s="254">
        <v>0</v>
      </c>
      <c r="Y176" s="254">
        <v>0</v>
      </c>
      <c r="Z176" s="254">
        <v>0</v>
      </c>
      <c r="AA176" s="231"/>
    </row>
    <row r="177" spans="1:27" s="229" customFormat="1" ht="33.75">
      <c r="A177" s="251" t="s">
        <v>60</v>
      </c>
      <c r="B177" s="252" t="s">
        <v>409</v>
      </c>
      <c r="C177" s="253" t="s">
        <v>306</v>
      </c>
      <c r="D177" s="251" t="s">
        <v>11</v>
      </c>
      <c r="E177" s="251" t="s">
        <v>307</v>
      </c>
      <c r="F177" s="251" t="s">
        <v>307</v>
      </c>
      <c r="G177" s="251" t="s">
        <v>307</v>
      </c>
      <c r="H177" s="251"/>
      <c r="I177" s="251"/>
      <c r="J177" s="251"/>
      <c r="K177" s="251"/>
      <c r="L177" s="251" t="s">
        <v>116</v>
      </c>
      <c r="M177" s="251" t="s">
        <v>117</v>
      </c>
      <c r="N177" s="251" t="s">
        <v>118</v>
      </c>
      <c r="O177" s="252" t="s">
        <v>308</v>
      </c>
      <c r="P177" s="254">
        <v>4012700000</v>
      </c>
      <c r="Q177" s="254">
        <v>0</v>
      </c>
      <c r="R177" s="254">
        <v>0</v>
      </c>
      <c r="S177" s="254">
        <v>4012700000</v>
      </c>
      <c r="T177" s="254">
        <v>0</v>
      </c>
      <c r="U177" s="254">
        <v>441041093</v>
      </c>
      <c r="V177" s="254">
        <v>3571658907</v>
      </c>
      <c r="W177" s="254">
        <v>441041093</v>
      </c>
      <c r="X177" s="254">
        <v>441041093</v>
      </c>
      <c r="Y177" s="254">
        <v>441041093</v>
      </c>
      <c r="Z177" s="254">
        <v>441041093</v>
      </c>
      <c r="AA177" s="231"/>
    </row>
    <row r="178" spans="1:27" s="229" customFormat="1" ht="33.75">
      <c r="A178" s="251" t="s">
        <v>60</v>
      </c>
      <c r="B178" s="252" t="s">
        <v>409</v>
      </c>
      <c r="C178" s="253" t="s">
        <v>309</v>
      </c>
      <c r="D178" s="251" t="s">
        <v>11</v>
      </c>
      <c r="E178" s="251" t="s">
        <v>307</v>
      </c>
      <c r="F178" s="251" t="s">
        <v>307</v>
      </c>
      <c r="G178" s="251" t="s">
        <v>310</v>
      </c>
      <c r="H178" s="251"/>
      <c r="I178" s="251"/>
      <c r="J178" s="251"/>
      <c r="K178" s="251"/>
      <c r="L178" s="251" t="s">
        <v>116</v>
      </c>
      <c r="M178" s="251" t="s">
        <v>117</v>
      </c>
      <c r="N178" s="251" t="s">
        <v>118</v>
      </c>
      <c r="O178" s="252" t="s">
        <v>311</v>
      </c>
      <c r="P178" s="254">
        <v>1053700000</v>
      </c>
      <c r="Q178" s="254">
        <v>0</v>
      </c>
      <c r="R178" s="254">
        <v>0</v>
      </c>
      <c r="S178" s="254">
        <v>1053700000</v>
      </c>
      <c r="T178" s="254">
        <v>0</v>
      </c>
      <c r="U178" s="254">
        <v>134234388</v>
      </c>
      <c r="V178" s="254">
        <v>919465612</v>
      </c>
      <c r="W178" s="254">
        <v>134234388</v>
      </c>
      <c r="X178" s="254">
        <v>48234388</v>
      </c>
      <c r="Y178" s="254">
        <v>48234388</v>
      </c>
      <c r="Z178" s="254">
        <v>0</v>
      </c>
      <c r="AA178" s="231"/>
    </row>
    <row r="179" spans="1:27" s="229" customFormat="1" ht="33.75">
      <c r="A179" s="251" t="s">
        <v>60</v>
      </c>
      <c r="B179" s="252" t="s">
        <v>409</v>
      </c>
      <c r="C179" s="253" t="s">
        <v>312</v>
      </c>
      <c r="D179" s="251" t="s">
        <v>11</v>
      </c>
      <c r="E179" s="251" t="s">
        <v>307</v>
      </c>
      <c r="F179" s="251" t="s">
        <v>307</v>
      </c>
      <c r="G179" s="251" t="s">
        <v>313</v>
      </c>
      <c r="H179" s="251"/>
      <c r="I179" s="251"/>
      <c r="J179" s="251"/>
      <c r="K179" s="251"/>
      <c r="L179" s="251" t="s">
        <v>116</v>
      </c>
      <c r="M179" s="251" t="s">
        <v>117</v>
      </c>
      <c r="N179" s="251" t="s">
        <v>118</v>
      </c>
      <c r="O179" s="252" t="s">
        <v>314</v>
      </c>
      <c r="P179" s="254">
        <v>89500000</v>
      </c>
      <c r="Q179" s="254">
        <v>0</v>
      </c>
      <c r="R179" s="254">
        <v>0</v>
      </c>
      <c r="S179" s="254">
        <v>89500000</v>
      </c>
      <c r="T179" s="254">
        <v>0</v>
      </c>
      <c r="U179" s="254">
        <v>2530342</v>
      </c>
      <c r="V179" s="254">
        <v>86969658</v>
      </c>
      <c r="W179" s="254">
        <v>2530342</v>
      </c>
      <c r="X179" s="254">
        <v>2530342</v>
      </c>
      <c r="Y179" s="254">
        <v>2530342</v>
      </c>
      <c r="Z179" s="254">
        <v>2530342</v>
      </c>
      <c r="AA179" s="231"/>
    </row>
    <row r="180" spans="1:27" s="229" customFormat="1" ht="33.75">
      <c r="A180" s="251" t="s">
        <v>60</v>
      </c>
      <c r="B180" s="252" t="s">
        <v>409</v>
      </c>
      <c r="C180" s="253" t="s">
        <v>432</v>
      </c>
      <c r="D180" s="251" t="s">
        <v>11</v>
      </c>
      <c r="E180" s="251" t="s">
        <v>310</v>
      </c>
      <c r="F180" s="251"/>
      <c r="G180" s="251"/>
      <c r="H180" s="251"/>
      <c r="I180" s="251"/>
      <c r="J180" s="251"/>
      <c r="K180" s="251"/>
      <c r="L180" s="251" t="s">
        <v>116</v>
      </c>
      <c r="M180" s="251" t="s">
        <v>117</v>
      </c>
      <c r="N180" s="251" t="s">
        <v>118</v>
      </c>
      <c r="O180" s="252" t="s">
        <v>433</v>
      </c>
      <c r="P180" s="254">
        <v>69273600</v>
      </c>
      <c r="Q180" s="254">
        <v>0</v>
      </c>
      <c r="R180" s="254">
        <v>0</v>
      </c>
      <c r="S180" s="254">
        <v>69273600</v>
      </c>
      <c r="T180" s="254">
        <v>0</v>
      </c>
      <c r="U180" s="254">
        <v>0</v>
      </c>
      <c r="V180" s="254">
        <v>69273600</v>
      </c>
      <c r="W180" s="254">
        <v>0</v>
      </c>
      <c r="X180" s="254">
        <v>0</v>
      </c>
      <c r="Y180" s="254">
        <v>0</v>
      </c>
      <c r="Z180" s="254">
        <v>0</v>
      </c>
      <c r="AA180" s="231"/>
    </row>
    <row r="181" spans="1:27" s="229" customFormat="1" ht="33.75">
      <c r="A181" s="251" t="s">
        <v>60</v>
      </c>
      <c r="B181" s="252" t="s">
        <v>409</v>
      </c>
      <c r="C181" s="253" t="s">
        <v>298</v>
      </c>
      <c r="D181" s="251" t="s">
        <v>11</v>
      </c>
      <c r="E181" s="251" t="s">
        <v>332</v>
      </c>
      <c r="F181" s="251" t="s">
        <v>307</v>
      </c>
      <c r="G181" s="251"/>
      <c r="H181" s="251"/>
      <c r="I181" s="251"/>
      <c r="J181" s="251"/>
      <c r="K181" s="251"/>
      <c r="L181" s="251" t="s">
        <v>116</v>
      </c>
      <c r="M181" s="251" t="s">
        <v>117</v>
      </c>
      <c r="N181" s="251" t="s">
        <v>118</v>
      </c>
      <c r="O181" s="252" t="s">
        <v>333</v>
      </c>
      <c r="P181" s="254">
        <v>3168000</v>
      </c>
      <c r="Q181" s="254">
        <v>0</v>
      </c>
      <c r="R181" s="254">
        <v>0</v>
      </c>
      <c r="S181" s="254">
        <v>3168000</v>
      </c>
      <c r="T181" s="254">
        <v>0</v>
      </c>
      <c r="U181" s="254">
        <v>0</v>
      </c>
      <c r="V181" s="254">
        <v>3168000</v>
      </c>
      <c r="W181" s="254">
        <v>0</v>
      </c>
      <c r="X181" s="254">
        <v>0</v>
      </c>
      <c r="Y181" s="254">
        <v>0</v>
      </c>
      <c r="Z181" s="254">
        <v>0</v>
      </c>
      <c r="AA181" s="231"/>
    </row>
    <row r="182" spans="1:27" s="229" customFormat="1" ht="33.75">
      <c r="A182" s="251" t="s">
        <v>60</v>
      </c>
      <c r="B182" s="252" t="s">
        <v>409</v>
      </c>
      <c r="C182" s="253" t="s">
        <v>294</v>
      </c>
      <c r="D182" s="251" t="s">
        <v>11</v>
      </c>
      <c r="E182" s="251" t="s">
        <v>332</v>
      </c>
      <c r="F182" s="251" t="s">
        <v>318</v>
      </c>
      <c r="G182" s="251" t="s">
        <v>307</v>
      </c>
      <c r="H182" s="251"/>
      <c r="I182" s="251"/>
      <c r="J182" s="251"/>
      <c r="K182" s="251"/>
      <c r="L182" s="251" t="s">
        <v>116</v>
      </c>
      <c r="M182" s="251" t="s">
        <v>125</v>
      </c>
      <c r="N182" s="251" t="s">
        <v>126</v>
      </c>
      <c r="O182" s="252" t="s">
        <v>334</v>
      </c>
      <c r="P182" s="254">
        <v>16684800</v>
      </c>
      <c r="Q182" s="254">
        <v>0</v>
      </c>
      <c r="R182" s="254">
        <v>0</v>
      </c>
      <c r="S182" s="254">
        <v>16684800</v>
      </c>
      <c r="T182" s="254">
        <v>0</v>
      </c>
      <c r="U182" s="254">
        <v>0</v>
      </c>
      <c r="V182" s="254">
        <v>16684800</v>
      </c>
      <c r="W182" s="254">
        <v>0</v>
      </c>
      <c r="X182" s="254">
        <v>0</v>
      </c>
      <c r="Y182" s="254">
        <v>0</v>
      </c>
      <c r="Z182" s="254">
        <v>0</v>
      </c>
      <c r="AA182" s="231"/>
    </row>
    <row r="183" spans="1:27" s="229" customFormat="1" ht="33.75">
      <c r="A183" s="251" t="s">
        <v>60</v>
      </c>
      <c r="B183" s="252" t="s">
        <v>409</v>
      </c>
      <c r="C183" s="253" t="s">
        <v>436</v>
      </c>
      <c r="D183" s="251" t="s">
        <v>430</v>
      </c>
      <c r="E183" s="251" t="s">
        <v>117</v>
      </c>
      <c r="F183" s="251" t="s">
        <v>318</v>
      </c>
      <c r="G183" s="251" t="s">
        <v>307</v>
      </c>
      <c r="H183" s="251"/>
      <c r="I183" s="251"/>
      <c r="J183" s="251"/>
      <c r="K183" s="251"/>
      <c r="L183" s="251" t="s">
        <v>116</v>
      </c>
      <c r="M183" s="251" t="s">
        <v>125</v>
      </c>
      <c r="N183" s="251" t="s">
        <v>118</v>
      </c>
      <c r="O183" s="252" t="s">
        <v>437</v>
      </c>
      <c r="P183" s="254">
        <v>99377873</v>
      </c>
      <c r="Q183" s="254">
        <v>0</v>
      </c>
      <c r="R183" s="254">
        <v>0</v>
      </c>
      <c r="S183" s="254">
        <v>99377873</v>
      </c>
      <c r="T183" s="254">
        <v>0</v>
      </c>
      <c r="U183" s="254">
        <v>0</v>
      </c>
      <c r="V183" s="254">
        <v>99377873</v>
      </c>
      <c r="W183" s="254">
        <v>0</v>
      </c>
      <c r="X183" s="254">
        <v>0</v>
      </c>
      <c r="Y183" s="254">
        <v>0</v>
      </c>
      <c r="Z183" s="254">
        <v>0</v>
      </c>
      <c r="AA183" s="231"/>
    </row>
    <row r="184" spans="1:27" s="229" customFormat="1" ht="45">
      <c r="A184" s="251" t="s">
        <v>61</v>
      </c>
      <c r="B184" s="252" t="s">
        <v>410</v>
      </c>
      <c r="C184" s="253" t="s">
        <v>306</v>
      </c>
      <c r="D184" s="251" t="s">
        <v>11</v>
      </c>
      <c r="E184" s="251" t="s">
        <v>307</v>
      </c>
      <c r="F184" s="251" t="s">
        <v>307</v>
      </c>
      <c r="G184" s="251" t="s">
        <v>307</v>
      </c>
      <c r="H184" s="251"/>
      <c r="I184" s="251"/>
      <c r="J184" s="251"/>
      <c r="K184" s="251"/>
      <c r="L184" s="251" t="s">
        <v>116</v>
      </c>
      <c r="M184" s="251" t="s">
        <v>117</v>
      </c>
      <c r="N184" s="251" t="s">
        <v>118</v>
      </c>
      <c r="O184" s="252" t="s">
        <v>308</v>
      </c>
      <c r="P184" s="254">
        <v>1363100000</v>
      </c>
      <c r="Q184" s="254">
        <v>0</v>
      </c>
      <c r="R184" s="254">
        <v>0</v>
      </c>
      <c r="S184" s="254">
        <v>1363100000</v>
      </c>
      <c r="T184" s="254">
        <v>0</v>
      </c>
      <c r="U184" s="254">
        <v>0</v>
      </c>
      <c r="V184" s="254">
        <v>1363100000</v>
      </c>
      <c r="W184" s="254">
        <v>0</v>
      </c>
      <c r="X184" s="254">
        <v>0</v>
      </c>
      <c r="Y184" s="254">
        <v>0</v>
      </c>
      <c r="Z184" s="254">
        <v>0</v>
      </c>
      <c r="AA184" s="231"/>
    </row>
    <row r="185" spans="1:27" s="229" customFormat="1" ht="45">
      <c r="A185" s="251" t="s">
        <v>61</v>
      </c>
      <c r="B185" s="252" t="s">
        <v>410</v>
      </c>
      <c r="C185" s="253" t="s">
        <v>309</v>
      </c>
      <c r="D185" s="251" t="s">
        <v>11</v>
      </c>
      <c r="E185" s="251" t="s">
        <v>307</v>
      </c>
      <c r="F185" s="251" t="s">
        <v>307</v>
      </c>
      <c r="G185" s="251" t="s">
        <v>310</v>
      </c>
      <c r="H185" s="251"/>
      <c r="I185" s="251"/>
      <c r="J185" s="251"/>
      <c r="K185" s="251"/>
      <c r="L185" s="251" t="s">
        <v>116</v>
      </c>
      <c r="M185" s="251" t="s">
        <v>117</v>
      </c>
      <c r="N185" s="251" t="s">
        <v>118</v>
      </c>
      <c r="O185" s="252" t="s">
        <v>311</v>
      </c>
      <c r="P185" s="254">
        <v>566900000</v>
      </c>
      <c r="Q185" s="254">
        <v>0</v>
      </c>
      <c r="R185" s="254">
        <v>0</v>
      </c>
      <c r="S185" s="254">
        <v>566900000</v>
      </c>
      <c r="T185" s="254">
        <v>0</v>
      </c>
      <c r="U185" s="254">
        <v>0</v>
      </c>
      <c r="V185" s="254">
        <v>566900000</v>
      </c>
      <c r="W185" s="254">
        <v>0</v>
      </c>
      <c r="X185" s="254">
        <v>0</v>
      </c>
      <c r="Y185" s="254">
        <v>0</v>
      </c>
      <c r="Z185" s="254">
        <v>0</v>
      </c>
      <c r="AA185" s="231"/>
    </row>
    <row r="186" spans="1:27" s="229" customFormat="1" ht="45">
      <c r="A186" s="251" t="s">
        <v>61</v>
      </c>
      <c r="B186" s="252" t="s">
        <v>410</v>
      </c>
      <c r="C186" s="253" t="s">
        <v>312</v>
      </c>
      <c r="D186" s="251" t="s">
        <v>11</v>
      </c>
      <c r="E186" s="251" t="s">
        <v>307</v>
      </c>
      <c r="F186" s="251" t="s">
        <v>307</v>
      </c>
      <c r="G186" s="251" t="s">
        <v>313</v>
      </c>
      <c r="H186" s="251"/>
      <c r="I186" s="251"/>
      <c r="J186" s="251"/>
      <c r="K186" s="251"/>
      <c r="L186" s="251" t="s">
        <v>116</v>
      </c>
      <c r="M186" s="251" t="s">
        <v>117</v>
      </c>
      <c r="N186" s="251" t="s">
        <v>118</v>
      </c>
      <c r="O186" s="252" t="s">
        <v>314</v>
      </c>
      <c r="P186" s="254">
        <v>77000000</v>
      </c>
      <c r="Q186" s="254">
        <v>0</v>
      </c>
      <c r="R186" s="254">
        <v>0</v>
      </c>
      <c r="S186" s="254">
        <v>77000000</v>
      </c>
      <c r="T186" s="254">
        <v>0</v>
      </c>
      <c r="U186" s="254">
        <v>0</v>
      </c>
      <c r="V186" s="254">
        <v>77000000</v>
      </c>
      <c r="W186" s="254">
        <v>0</v>
      </c>
      <c r="X186" s="254">
        <v>0</v>
      </c>
      <c r="Y186" s="254">
        <v>0</v>
      </c>
      <c r="Z186" s="254">
        <v>0</v>
      </c>
      <c r="AA186" s="231"/>
    </row>
    <row r="187" spans="1:27" s="229" customFormat="1" ht="45">
      <c r="A187" s="251" t="s">
        <v>61</v>
      </c>
      <c r="B187" s="252" t="s">
        <v>410</v>
      </c>
      <c r="C187" s="253" t="s">
        <v>432</v>
      </c>
      <c r="D187" s="251" t="s">
        <v>11</v>
      </c>
      <c r="E187" s="251" t="s">
        <v>310</v>
      </c>
      <c r="F187" s="251"/>
      <c r="G187" s="251"/>
      <c r="H187" s="251"/>
      <c r="I187" s="251"/>
      <c r="J187" s="251"/>
      <c r="K187" s="251"/>
      <c r="L187" s="251" t="s">
        <v>116</v>
      </c>
      <c r="M187" s="251" t="s">
        <v>117</v>
      </c>
      <c r="N187" s="251" t="s">
        <v>118</v>
      </c>
      <c r="O187" s="252" t="s">
        <v>433</v>
      </c>
      <c r="P187" s="254">
        <v>430500000</v>
      </c>
      <c r="Q187" s="254">
        <v>0</v>
      </c>
      <c r="R187" s="254">
        <v>0</v>
      </c>
      <c r="S187" s="254">
        <v>430500000</v>
      </c>
      <c r="T187" s="254">
        <v>0</v>
      </c>
      <c r="U187" s="254">
        <v>228919541</v>
      </c>
      <c r="V187" s="254">
        <v>201580459</v>
      </c>
      <c r="W187" s="254">
        <v>0</v>
      </c>
      <c r="X187" s="254">
        <v>0</v>
      </c>
      <c r="Y187" s="254">
        <v>0</v>
      </c>
      <c r="Z187" s="254">
        <v>0</v>
      </c>
      <c r="AA187" s="231"/>
    </row>
    <row r="188" spans="1:27" s="229" customFormat="1" ht="45">
      <c r="A188" s="251" t="s">
        <v>61</v>
      </c>
      <c r="B188" s="252" t="s">
        <v>410</v>
      </c>
      <c r="C188" s="253" t="s">
        <v>294</v>
      </c>
      <c r="D188" s="251" t="s">
        <v>11</v>
      </c>
      <c r="E188" s="251" t="s">
        <v>332</v>
      </c>
      <c r="F188" s="251" t="s">
        <v>318</v>
      </c>
      <c r="G188" s="251" t="s">
        <v>307</v>
      </c>
      <c r="H188" s="251"/>
      <c r="I188" s="251"/>
      <c r="J188" s="251"/>
      <c r="K188" s="251"/>
      <c r="L188" s="251" t="s">
        <v>116</v>
      </c>
      <c r="M188" s="251" t="s">
        <v>125</v>
      </c>
      <c r="N188" s="251" t="s">
        <v>126</v>
      </c>
      <c r="O188" s="252" t="s">
        <v>334</v>
      </c>
      <c r="P188" s="254">
        <v>21000000</v>
      </c>
      <c r="Q188" s="254">
        <v>0</v>
      </c>
      <c r="R188" s="254">
        <v>0</v>
      </c>
      <c r="S188" s="254">
        <v>21000000</v>
      </c>
      <c r="T188" s="254">
        <v>0</v>
      </c>
      <c r="U188" s="254">
        <v>0</v>
      </c>
      <c r="V188" s="254">
        <v>21000000</v>
      </c>
      <c r="W188" s="254">
        <v>0</v>
      </c>
      <c r="X188" s="254">
        <v>0</v>
      </c>
      <c r="Y188" s="254">
        <v>0</v>
      </c>
      <c r="Z188" s="254">
        <v>0</v>
      </c>
      <c r="AA188" s="231"/>
    </row>
    <row r="189" spans="1:27" s="229" customFormat="1" ht="45">
      <c r="A189" s="251" t="s">
        <v>61</v>
      </c>
      <c r="B189" s="252" t="s">
        <v>410</v>
      </c>
      <c r="C189" s="253" t="s">
        <v>436</v>
      </c>
      <c r="D189" s="251" t="s">
        <v>430</v>
      </c>
      <c r="E189" s="251" t="s">
        <v>117</v>
      </c>
      <c r="F189" s="251" t="s">
        <v>318</v>
      </c>
      <c r="G189" s="251" t="s">
        <v>307</v>
      </c>
      <c r="H189" s="251"/>
      <c r="I189" s="251"/>
      <c r="J189" s="251"/>
      <c r="K189" s="251"/>
      <c r="L189" s="251" t="s">
        <v>116</v>
      </c>
      <c r="M189" s="251" t="s">
        <v>125</v>
      </c>
      <c r="N189" s="251" t="s">
        <v>118</v>
      </c>
      <c r="O189" s="252" t="s">
        <v>437</v>
      </c>
      <c r="P189" s="254">
        <v>538082962</v>
      </c>
      <c r="Q189" s="254">
        <v>0</v>
      </c>
      <c r="R189" s="254">
        <v>0</v>
      </c>
      <c r="S189" s="254">
        <v>538082962</v>
      </c>
      <c r="T189" s="254">
        <v>0</v>
      </c>
      <c r="U189" s="254">
        <v>0</v>
      </c>
      <c r="V189" s="254">
        <v>538082962</v>
      </c>
      <c r="W189" s="254">
        <v>0</v>
      </c>
      <c r="X189" s="254">
        <v>0</v>
      </c>
      <c r="Y189" s="254">
        <v>0</v>
      </c>
      <c r="Z189" s="254">
        <v>0</v>
      </c>
      <c r="AA189" s="231"/>
    </row>
    <row r="190" spans="1:27" s="229" customFormat="1" ht="45">
      <c r="A190" s="251" t="s">
        <v>56</v>
      </c>
      <c r="B190" s="252" t="s">
        <v>411</v>
      </c>
      <c r="C190" s="253" t="s">
        <v>306</v>
      </c>
      <c r="D190" s="251" t="s">
        <v>11</v>
      </c>
      <c r="E190" s="251" t="s">
        <v>307</v>
      </c>
      <c r="F190" s="251" t="s">
        <v>307</v>
      </c>
      <c r="G190" s="251" t="s">
        <v>307</v>
      </c>
      <c r="H190" s="251"/>
      <c r="I190" s="251"/>
      <c r="J190" s="251"/>
      <c r="K190" s="251"/>
      <c r="L190" s="251" t="s">
        <v>116</v>
      </c>
      <c r="M190" s="251" t="s">
        <v>117</v>
      </c>
      <c r="N190" s="251" t="s">
        <v>118</v>
      </c>
      <c r="O190" s="252" t="s">
        <v>308</v>
      </c>
      <c r="P190" s="254">
        <v>1868000000</v>
      </c>
      <c r="Q190" s="254">
        <v>0</v>
      </c>
      <c r="R190" s="254">
        <v>0</v>
      </c>
      <c r="S190" s="254">
        <v>1868000000</v>
      </c>
      <c r="T190" s="254">
        <v>0</v>
      </c>
      <c r="U190" s="254">
        <v>142422445</v>
      </c>
      <c r="V190" s="254">
        <v>1725577555</v>
      </c>
      <c r="W190" s="254">
        <v>142422445</v>
      </c>
      <c r="X190" s="254">
        <v>142422445</v>
      </c>
      <c r="Y190" s="254">
        <v>142422445</v>
      </c>
      <c r="Z190" s="254">
        <v>142422445</v>
      </c>
      <c r="AA190" s="231"/>
    </row>
    <row r="191" spans="1:27" s="229" customFormat="1" ht="45">
      <c r="A191" s="251" t="s">
        <v>56</v>
      </c>
      <c r="B191" s="252" t="s">
        <v>411</v>
      </c>
      <c r="C191" s="253" t="s">
        <v>309</v>
      </c>
      <c r="D191" s="251" t="s">
        <v>11</v>
      </c>
      <c r="E191" s="251" t="s">
        <v>307</v>
      </c>
      <c r="F191" s="251" t="s">
        <v>307</v>
      </c>
      <c r="G191" s="251" t="s">
        <v>310</v>
      </c>
      <c r="H191" s="251"/>
      <c r="I191" s="251"/>
      <c r="J191" s="251"/>
      <c r="K191" s="251"/>
      <c r="L191" s="251" t="s">
        <v>116</v>
      </c>
      <c r="M191" s="251" t="s">
        <v>117</v>
      </c>
      <c r="N191" s="251" t="s">
        <v>118</v>
      </c>
      <c r="O191" s="252" t="s">
        <v>311</v>
      </c>
      <c r="P191" s="254">
        <v>530000000</v>
      </c>
      <c r="Q191" s="254">
        <v>0</v>
      </c>
      <c r="R191" s="254">
        <v>0</v>
      </c>
      <c r="S191" s="254">
        <v>530000000</v>
      </c>
      <c r="T191" s="254">
        <v>0</v>
      </c>
      <c r="U191" s="254">
        <v>55962605</v>
      </c>
      <c r="V191" s="254">
        <v>474037395</v>
      </c>
      <c r="W191" s="254">
        <v>55962605</v>
      </c>
      <c r="X191" s="254">
        <v>55962605</v>
      </c>
      <c r="Y191" s="254">
        <v>55962605</v>
      </c>
      <c r="Z191" s="254">
        <v>55962605</v>
      </c>
      <c r="AA191" s="231"/>
    </row>
    <row r="192" spans="1:27" s="229" customFormat="1" ht="45">
      <c r="A192" s="251" t="s">
        <v>56</v>
      </c>
      <c r="B192" s="252" t="s">
        <v>411</v>
      </c>
      <c r="C192" s="253" t="s">
        <v>312</v>
      </c>
      <c r="D192" s="251" t="s">
        <v>11</v>
      </c>
      <c r="E192" s="251" t="s">
        <v>307</v>
      </c>
      <c r="F192" s="251" t="s">
        <v>307</v>
      </c>
      <c r="G192" s="251" t="s">
        <v>313</v>
      </c>
      <c r="H192" s="251"/>
      <c r="I192" s="251"/>
      <c r="J192" s="251"/>
      <c r="K192" s="251"/>
      <c r="L192" s="251" t="s">
        <v>116</v>
      </c>
      <c r="M192" s="251" t="s">
        <v>117</v>
      </c>
      <c r="N192" s="251" t="s">
        <v>118</v>
      </c>
      <c r="O192" s="252" t="s">
        <v>314</v>
      </c>
      <c r="P192" s="254">
        <v>132000000</v>
      </c>
      <c r="Q192" s="254">
        <v>0</v>
      </c>
      <c r="R192" s="254">
        <v>0</v>
      </c>
      <c r="S192" s="254">
        <v>132000000</v>
      </c>
      <c r="T192" s="254">
        <v>0</v>
      </c>
      <c r="U192" s="254">
        <v>23185091</v>
      </c>
      <c r="V192" s="254">
        <v>108814909</v>
      </c>
      <c r="W192" s="254">
        <v>23185091</v>
      </c>
      <c r="X192" s="254">
        <v>23185091</v>
      </c>
      <c r="Y192" s="254">
        <v>23185091</v>
      </c>
      <c r="Z192" s="254">
        <v>23185091</v>
      </c>
      <c r="AA192" s="231"/>
    </row>
    <row r="193" spans="1:27" s="229" customFormat="1" ht="45">
      <c r="A193" s="251" t="s">
        <v>56</v>
      </c>
      <c r="B193" s="252" t="s">
        <v>411</v>
      </c>
      <c r="C193" s="253" t="s">
        <v>432</v>
      </c>
      <c r="D193" s="251" t="s">
        <v>11</v>
      </c>
      <c r="E193" s="251" t="s">
        <v>310</v>
      </c>
      <c r="F193" s="251"/>
      <c r="G193" s="251"/>
      <c r="H193" s="251"/>
      <c r="I193" s="251"/>
      <c r="J193" s="251"/>
      <c r="K193" s="251"/>
      <c r="L193" s="251" t="s">
        <v>116</v>
      </c>
      <c r="M193" s="251" t="s">
        <v>117</v>
      </c>
      <c r="N193" s="251" t="s">
        <v>118</v>
      </c>
      <c r="O193" s="252" t="s">
        <v>433</v>
      </c>
      <c r="P193" s="254">
        <v>20000000</v>
      </c>
      <c r="Q193" s="254">
        <v>0</v>
      </c>
      <c r="R193" s="254">
        <v>0</v>
      </c>
      <c r="S193" s="254">
        <v>20000000</v>
      </c>
      <c r="T193" s="254">
        <v>0</v>
      </c>
      <c r="U193" s="254">
        <v>16500135</v>
      </c>
      <c r="V193" s="254">
        <v>3499865</v>
      </c>
      <c r="W193" s="254">
        <v>14079348</v>
      </c>
      <c r="X193" s="254">
        <v>0</v>
      </c>
      <c r="Y193" s="254">
        <v>0</v>
      </c>
      <c r="Z193" s="254">
        <v>0</v>
      </c>
      <c r="AA193" s="231"/>
    </row>
    <row r="194" spans="1:27" s="229" customFormat="1" ht="45">
      <c r="A194" s="251" t="s">
        <v>56</v>
      </c>
      <c r="B194" s="252" t="s">
        <v>411</v>
      </c>
      <c r="C194" s="253" t="s">
        <v>298</v>
      </c>
      <c r="D194" s="251" t="s">
        <v>11</v>
      </c>
      <c r="E194" s="251" t="s">
        <v>332</v>
      </c>
      <c r="F194" s="251" t="s">
        <v>307</v>
      </c>
      <c r="G194" s="251"/>
      <c r="H194" s="251"/>
      <c r="I194" s="251"/>
      <c r="J194" s="251"/>
      <c r="K194" s="251"/>
      <c r="L194" s="251" t="s">
        <v>116</v>
      </c>
      <c r="M194" s="251" t="s">
        <v>117</v>
      </c>
      <c r="N194" s="251" t="s">
        <v>118</v>
      </c>
      <c r="O194" s="252" t="s">
        <v>333</v>
      </c>
      <c r="P194" s="254">
        <v>3000000</v>
      </c>
      <c r="Q194" s="254">
        <v>0</v>
      </c>
      <c r="R194" s="254">
        <v>0</v>
      </c>
      <c r="S194" s="254">
        <v>3000000</v>
      </c>
      <c r="T194" s="254">
        <v>0</v>
      </c>
      <c r="U194" s="254">
        <v>0</v>
      </c>
      <c r="V194" s="254">
        <v>3000000</v>
      </c>
      <c r="W194" s="254">
        <v>0</v>
      </c>
      <c r="X194" s="254">
        <v>0</v>
      </c>
      <c r="Y194" s="254">
        <v>0</v>
      </c>
      <c r="Z194" s="254">
        <v>0</v>
      </c>
      <c r="AA194" s="231"/>
    </row>
    <row r="195" spans="1:27" s="229" customFormat="1" ht="45">
      <c r="A195" s="251" t="s">
        <v>56</v>
      </c>
      <c r="B195" s="252" t="s">
        <v>411</v>
      </c>
      <c r="C195" s="253" t="s">
        <v>294</v>
      </c>
      <c r="D195" s="251" t="s">
        <v>11</v>
      </c>
      <c r="E195" s="251" t="s">
        <v>332</v>
      </c>
      <c r="F195" s="251" t="s">
        <v>318</v>
      </c>
      <c r="G195" s="251" t="s">
        <v>307</v>
      </c>
      <c r="H195" s="251"/>
      <c r="I195" s="251"/>
      <c r="J195" s="251"/>
      <c r="K195" s="251"/>
      <c r="L195" s="251" t="s">
        <v>116</v>
      </c>
      <c r="M195" s="251" t="s">
        <v>125</v>
      </c>
      <c r="N195" s="251" t="s">
        <v>126</v>
      </c>
      <c r="O195" s="252" t="s">
        <v>334</v>
      </c>
      <c r="P195" s="254">
        <v>9000000</v>
      </c>
      <c r="Q195" s="254">
        <v>0</v>
      </c>
      <c r="R195" s="254">
        <v>0</v>
      </c>
      <c r="S195" s="254">
        <v>9000000</v>
      </c>
      <c r="T195" s="254">
        <v>0</v>
      </c>
      <c r="U195" s="254">
        <v>0</v>
      </c>
      <c r="V195" s="254">
        <v>9000000</v>
      </c>
      <c r="W195" s="254">
        <v>0</v>
      </c>
      <c r="X195" s="254">
        <v>0</v>
      </c>
      <c r="Y195" s="254">
        <v>0</v>
      </c>
      <c r="Z195" s="254">
        <v>0</v>
      </c>
      <c r="AA195" s="231"/>
    </row>
    <row r="196" spans="1:27" s="229" customFormat="1" ht="45">
      <c r="A196" s="251" t="s">
        <v>56</v>
      </c>
      <c r="B196" s="252" t="s">
        <v>411</v>
      </c>
      <c r="C196" s="253" t="s">
        <v>436</v>
      </c>
      <c r="D196" s="251" t="s">
        <v>430</v>
      </c>
      <c r="E196" s="251" t="s">
        <v>117</v>
      </c>
      <c r="F196" s="251" t="s">
        <v>318</v>
      </c>
      <c r="G196" s="251" t="s">
        <v>307</v>
      </c>
      <c r="H196" s="251"/>
      <c r="I196" s="251"/>
      <c r="J196" s="251"/>
      <c r="K196" s="251"/>
      <c r="L196" s="251" t="s">
        <v>116</v>
      </c>
      <c r="M196" s="251" t="s">
        <v>125</v>
      </c>
      <c r="N196" s="251" t="s">
        <v>118</v>
      </c>
      <c r="O196" s="252" t="s">
        <v>437</v>
      </c>
      <c r="P196" s="254">
        <v>193913662</v>
      </c>
      <c r="Q196" s="254">
        <v>0</v>
      </c>
      <c r="R196" s="254">
        <v>0</v>
      </c>
      <c r="S196" s="254">
        <v>193913662</v>
      </c>
      <c r="T196" s="254">
        <v>0</v>
      </c>
      <c r="U196" s="254">
        <v>0</v>
      </c>
      <c r="V196" s="254">
        <v>193913662</v>
      </c>
      <c r="W196" s="254">
        <v>0</v>
      </c>
      <c r="X196" s="254">
        <v>0</v>
      </c>
      <c r="Y196" s="254">
        <v>0</v>
      </c>
      <c r="Z196" s="254">
        <v>0</v>
      </c>
      <c r="AA196" s="231"/>
    </row>
    <row r="197" spans="1:27" s="229" customFormat="1" ht="56.25">
      <c r="A197" s="251" t="s">
        <v>58</v>
      </c>
      <c r="B197" s="252" t="s">
        <v>412</v>
      </c>
      <c r="C197" s="253" t="s">
        <v>306</v>
      </c>
      <c r="D197" s="251" t="s">
        <v>11</v>
      </c>
      <c r="E197" s="251" t="s">
        <v>307</v>
      </c>
      <c r="F197" s="251" t="s">
        <v>307</v>
      </c>
      <c r="G197" s="251" t="s">
        <v>307</v>
      </c>
      <c r="H197" s="251"/>
      <c r="I197" s="251"/>
      <c r="J197" s="251"/>
      <c r="K197" s="251"/>
      <c r="L197" s="251" t="s">
        <v>116</v>
      </c>
      <c r="M197" s="251" t="s">
        <v>117</v>
      </c>
      <c r="N197" s="251" t="s">
        <v>118</v>
      </c>
      <c r="O197" s="252" t="s">
        <v>308</v>
      </c>
      <c r="P197" s="254">
        <v>1550000000</v>
      </c>
      <c r="Q197" s="254">
        <v>0</v>
      </c>
      <c r="R197" s="254">
        <v>0</v>
      </c>
      <c r="S197" s="254">
        <v>1550000000</v>
      </c>
      <c r="T197" s="254">
        <v>0</v>
      </c>
      <c r="U197" s="254">
        <v>146254332</v>
      </c>
      <c r="V197" s="254">
        <v>1403745668</v>
      </c>
      <c r="W197" s="254">
        <v>146254332</v>
      </c>
      <c r="X197" s="254">
        <v>146254332</v>
      </c>
      <c r="Y197" s="254">
        <v>146254332</v>
      </c>
      <c r="Z197" s="254">
        <v>146254332</v>
      </c>
      <c r="AA197" s="231"/>
    </row>
    <row r="198" spans="1:27" s="229" customFormat="1" ht="56.25">
      <c r="A198" s="251" t="s">
        <v>58</v>
      </c>
      <c r="B198" s="252" t="s">
        <v>412</v>
      </c>
      <c r="C198" s="253" t="s">
        <v>309</v>
      </c>
      <c r="D198" s="251" t="s">
        <v>11</v>
      </c>
      <c r="E198" s="251" t="s">
        <v>307</v>
      </c>
      <c r="F198" s="251" t="s">
        <v>307</v>
      </c>
      <c r="G198" s="251" t="s">
        <v>310</v>
      </c>
      <c r="H198" s="251"/>
      <c r="I198" s="251"/>
      <c r="J198" s="251"/>
      <c r="K198" s="251"/>
      <c r="L198" s="251" t="s">
        <v>116</v>
      </c>
      <c r="M198" s="251" t="s">
        <v>117</v>
      </c>
      <c r="N198" s="251" t="s">
        <v>118</v>
      </c>
      <c r="O198" s="252" t="s">
        <v>311</v>
      </c>
      <c r="P198" s="254">
        <v>404000000</v>
      </c>
      <c r="Q198" s="254">
        <v>0</v>
      </c>
      <c r="R198" s="254">
        <v>0</v>
      </c>
      <c r="S198" s="254">
        <v>404000000</v>
      </c>
      <c r="T198" s="254">
        <v>0</v>
      </c>
      <c r="U198" s="254">
        <v>57211084</v>
      </c>
      <c r="V198" s="254">
        <v>346788916</v>
      </c>
      <c r="W198" s="254">
        <v>57211084</v>
      </c>
      <c r="X198" s="254">
        <v>57211084</v>
      </c>
      <c r="Y198" s="254">
        <v>57211084</v>
      </c>
      <c r="Z198" s="254">
        <v>57211084</v>
      </c>
      <c r="AA198" s="231"/>
    </row>
    <row r="199" spans="1:27" s="229" customFormat="1" ht="56.25">
      <c r="A199" s="251" t="s">
        <v>58</v>
      </c>
      <c r="B199" s="252" t="s">
        <v>412</v>
      </c>
      <c r="C199" s="253" t="s">
        <v>312</v>
      </c>
      <c r="D199" s="251" t="s">
        <v>11</v>
      </c>
      <c r="E199" s="251" t="s">
        <v>307</v>
      </c>
      <c r="F199" s="251" t="s">
        <v>307</v>
      </c>
      <c r="G199" s="251" t="s">
        <v>313</v>
      </c>
      <c r="H199" s="251"/>
      <c r="I199" s="251"/>
      <c r="J199" s="251"/>
      <c r="K199" s="251"/>
      <c r="L199" s="251" t="s">
        <v>116</v>
      </c>
      <c r="M199" s="251" t="s">
        <v>117</v>
      </c>
      <c r="N199" s="251" t="s">
        <v>118</v>
      </c>
      <c r="O199" s="252" t="s">
        <v>314</v>
      </c>
      <c r="P199" s="254">
        <v>348000000</v>
      </c>
      <c r="Q199" s="254">
        <v>0</v>
      </c>
      <c r="R199" s="254">
        <v>0</v>
      </c>
      <c r="S199" s="254">
        <v>348000000</v>
      </c>
      <c r="T199" s="254">
        <v>0</v>
      </c>
      <c r="U199" s="254">
        <v>36036466</v>
      </c>
      <c r="V199" s="254">
        <v>311963534</v>
      </c>
      <c r="W199" s="254">
        <v>36036466</v>
      </c>
      <c r="X199" s="254">
        <v>36036466</v>
      </c>
      <c r="Y199" s="254">
        <v>36036466</v>
      </c>
      <c r="Z199" s="254">
        <v>36036466</v>
      </c>
      <c r="AA199" s="231"/>
    </row>
    <row r="200" spans="1:27" s="229" customFormat="1" ht="56.25">
      <c r="A200" s="251" t="s">
        <v>58</v>
      </c>
      <c r="B200" s="252" t="s">
        <v>412</v>
      </c>
      <c r="C200" s="253" t="s">
        <v>432</v>
      </c>
      <c r="D200" s="251" t="s">
        <v>11</v>
      </c>
      <c r="E200" s="251" t="s">
        <v>310</v>
      </c>
      <c r="F200" s="251"/>
      <c r="G200" s="251"/>
      <c r="H200" s="251"/>
      <c r="I200" s="251"/>
      <c r="J200" s="251"/>
      <c r="K200" s="251"/>
      <c r="L200" s="251" t="s">
        <v>116</v>
      </c>
      <c r="M200" s="251" t="s">
        <v>117</v>
      </c>
      <c r="N200" s="251" t="s">
        <v>118</v>
      </c>
      <c r="O200" s="252" t="s">
        <v>433</v>
      </c>
      <c r="P200" s="254">
        <v>188000000</v>
      </c>
      <c r="Q200" s="254">
        <v>0</v>
      </c>
      <c r="R200" s="254">
        <v>0</v>
      </c>
      <c r="S200" s="254">
        <v>188000000</v>
      </c>
      <c r="T200" s="254">
        <v>0</v>
      </c>
      <c r="U200" s="254">
        <v>15000000</v>
      </c>
      <c r="V200" s="254">
        <v>173000000</v>
      </c>
      <c r="W200" s="254">
        <v>15000000</v>
      </c>
      <c r="X200" s="254">
        <v>15000000</v>
      </c>
      <c r="Y200" s="254">
        <v>15000000</v>
      </c>
      <c r="Z200" s="254">
        <v>15000000</v>
      </c>
      <c r="AA200" s="231"/>
    </row>
    <row r="201" spans="1:27" s="229" customFormat="1" ht="56.25">
      <c r="A201" s="251" t="s">
        <v>58</v>
      </c>
      <c r="B201" s="252" t="s">
        <v>412</v>
      </c>
      <c r="C201" s="253" t="s">
        <v>298</v>
      </c>
      <c r="D201" s="251" t="s">
        <v>11</v>
      </c>
      <c r="E201" s="251" t="s">
        <v>332</v>
      </c>
      <c r="F201" s="251" t="s">
        <v>307</v>
      </c>
      <c r="G201" s="251"/>
      <c r="H201" s="251"/>
      <c r="I201" s="251"/>
      <c r="J201" s="251"/>
      <c r="K201" s="251"/>
      <c r="L201" s="251" t="s">
        <v>116</v>
      </c>
      <c r="M201" s="251" t="s">
        <v>117</v>
      </c>
      <c r="N201" s="251" t="s">
        <v>118</v>
      </c>
      <c r="O201" s="252" t="s">
        <v>333</v>
      </c>
      <c r="P201" s="254">
        <v>12000000</v>
      </c>
      <c r="Q201" s="254">
        <v>0</v>
      </c>
      <c r="R201" s="254">
        <v>0</v>
      </c>
      <c r="S201" s="254">
        <v>12000000</v>
      </c>
      <c r="T201" s="254">
        <v>0</v>
      </c>
      <c r="U201" s="254">
        <v>0</v>
      </c>
      <c r="V201" s="254">
        <v>12000000</v>
      </c>
      <c r="W201" s="254">
        <v>0</v>
      </c>
      <c r="X201" s="254">
        <v>0</v>
      </c>
      <c r="Y201" s="254">
        <v>0</v>
      </c>
      <c r="Z201" s="254">
        <v>0</v>
      </c>
      <c r="AA201" s="231"/>
    </row>
    <row r="202" spans="1:27" s="229" customFormat="1" ht="56.25">
      <c r="A202" s="251" t="s">
        <v>58</v>
      </c>
      <c r="B202" s="252" t="s">
        <v>412</v>
      </c>
      <c r="C202" s="253" t="s">
        <v>294</v>
      </c>
      <c r="D202" s="251" t="s">
        <v>11</v>
      </c>
      <c r="E202" s="251" t="s">
        <v>332</v>
      </c>
      <c r="F202" s="251" t="s">
        <v>318</v>
      </c>
      <c r="G202" s="251" t="s">
        <v>307</v>
      </c>
      <c r="H202" s="251"/>
      <c r="I202" s="251"/>
      <c r="J202" s="251"/>
      <c r="K202" s="251"/>
      <c r="L202" s="251" t="s">
        <v>116</v>
      </c>
      <c r="M202" s="251" t="s">
        <v>125</v>
      </c>
      <c r="N202" s="251" t="s">
        <v>126</v>
      </c>
      <c r="O202" s="252" t="s">
        <v>334</v>
      </c>
      <c r="P202" s="254">
        <v>13000000</v>
      </c>
      <c r="Q202" s="254">
        <v>0</v>
      </c>
      <c r="R202" s="254">
        <v>0</v>
      </c>
      <c r="S202" s="254">
        <v>13000000</v>
      </c>
      <c r="T202" s="254">
        <v>0</v>
      </c>
      <c r="U202" s="254">
        <v>0</v>
      </c>
      <c r="V202" s="254">
        <v>13000000</v>
      </c>
      <c r="W202" s="254">
        <v>0</v>
      </c>
      <c r="X202" s="254">
        <v>0</v>
      </c>
      <c r="Y202" s="254">
        <v>0</v>
      </c>
      <c r="Z202" s="254">
        <v>0</v>
      </c>
      <c r="AA202" s="231"/>
    </row>
    <row r="203" spans="1:27" s="229" customFormat="1" ht="45">
      <c r="A203" s="251" t="s">
        <v>59</v>
      </c>
      <c r="B203" s="252" t="s">
        <v>413</v>
      </c>
      <c r="C203" s="253" t="s">
        <v>306</v>
      </c>
      <c r="D203" s="251" t="s">
        <v>11</v>
      </c>
      <c r="E203" s="251" t="s">
        <v>307</v>
      </c>
      <c r="F203" s="251" t="s">
        <v>307</v>
      </c>
      <c r="G203" s="251" t="s">
        <v>307</v>
      </c>
      <c r="H203" s="251"/>
      <c r="I203" s="251"/>
      <c r="J203" s="251"/>
      <c r="K203" s="251"/>
      <c r="L203" s="251" t="s">
        <v>116</v>
      </c>
      <c r="M203" s="251" t="s">
        <v>117</v>
      </c>
      <c r="N203" s="251" t="s">
        <v>118</v>
      </c>
      <c r="O203" s="252" t="s">
        <v>308</v>
      </c>
      <c r="P203" s="254">
        <v>1856000000</v>
      </c>
      <c r="Q203" s="254">
        <v>0</v>
      </c>
      <c r="R203" s="254">
        <v>0</v>
      </c>
      <c r="S203" s="254">
        <v>1856000000</v>
      </c>
      <c r="T203" s="254">
        <v>0</v>
      </c>
      <c r="U203" s="254">
        <v>226105737</v>
      </c>
      <c r="V203" s="254">
        <v>1629894263</v>
      </c>
      <c r="W203" s="254">
        <v>226105737</v>
      </c>
      <c r="X203" s="254">
        <v>226105737</v>
      </c>
      <c r="Y203" s="254">
        <v>226105737</v>
      </c>
      <c r="Z203" s="254">
        <v>226105737</v>
      </c>
      <c r="AA203" s="231"/>
    </row>
    <row r="204" spans="1:27" s="229" customFormat="1" ht="45">
      <c r="A204" s="251" t="s">
        <v>59</v>
      </c>
      <c r="B204" s="252" t="s">
        <v>413</v>
      </c>
      <c r="C204" s="253" t="s">
        <v>309</v>
      </c>
      <c r="D204" s="251" t="s">
        <v>11</v>
      </c>
      <c r="E204" s="251" t="s">
        <v>307</v>
      </c>
      <c r="F204" s="251" t="s">
        <v>307</v>
      </c>
      <c r="G204" s="251" t="s">
        <v>310</v>
      </c>
      <c r="H204" s="251"/>
      <c r="I204" s="251"/>
      <c r="J204" s="251"/>
      <c r="K204" s="251"/>
      <c r="L204" s="251" t="s">
        <v>116</v>
      </c>
      <c r="M204" s="251" t="s">
        <v>117</v>
      </c>
      <c r="N204" s="251" t="s">
        <v>118</v>
      </c>
      <c r="O204" s="252" t="s">
        <v>311</v>
      </c>
      <c r="P204" s="254">
        <v>406000000</v>
      </c>
      <c r="Q204" s="254">
        <v>0</v>
      </c>
      <c r="R204" s="254">
        <v>0</v>
      </c>
      <c r="S204" s="254">
        <v>406000000</v>
      </c>
      <c r="T204" s="254">
        <v>0</v>
      </c>
      <c r="U204" s="254">
        <v>37419119</v>
      </c>
      <c r="V204" s="254">
        <v>368580881</v>
      </c>
      <c r="W204" s="254">
        <v>37419119</v>
      </c>
      <c r="X204" s="254">
        <v>37419119</v>
      </c>
      <c r="Y204" s="254">
        <v>37419119</v>
      </c>
      <c r="Z204" s="254">
        <v>37419119</v>
      </c>
      <c r="AA204" s="231"/>
    </row>
    <row r="205" spans="1:27" s="229" customFormat="1" ht="45">
      <c r="A205" s="251" t="s">
        <v>59</v>
      </c>
      <c r="B205" s="252" t="s">
        <v>413</v>
      </c>
      <c r="C205" s="253" t="s">
        <v>312</v>
      </c>
      <c r="D205" s="251" t="s">
        <v>11</v>
      </c>
      <c r="E205" s="251" t="s">
        <v>307</v>
      </c>
      <c r="F205" s="251" t="s">
        <v>307</v>
      </c>
      <c r="G205" s="251" t="s">
        <v>313</v>
      </c>
      <c r="H205" s="251"/>
      <c r="I205" s="251"/>
      <c r="J205" s="251"/>
      <c r="K205" s="251"/>
      <c r="L205" s="251" t="s">
        <v>116</v>
      </c>
      <c r="M205" s="251" t="s">
        <v>117</v>
      </c>
      <c r="N205" s="251" t="s">
        <v>118</v>
      </c>
      <c r="O205" s="252" t="s">
        <v>314</v>
      </c>
      <c r="P205" s="254">
        <v>323000000</v>
      </c>
      <c r="Q205" s="254">
        <v>0</v>
      </c>
      <c r="R205" s="254">
        <v>0</v>
      </c>
      <c r="S205" s="254">
        <v>323000000</v>
      </c>
      <c r="T205" s="254">
        <v>0</v>
      </c>
      <c r="U205" s="254">
        <v>36475144</v>
      </c>
      <c r="V205" s="254">
        <v>286524856</v>
      </c>
      <c r="W205" s="254">
        <v>36475144</v>
      </c>
      <c r="X205" s="254">
        <v>36475144</v>
      </c>
      <c r="Y205" s="254">
        <v>36475144</v>
      </c>
      <c r="Z205" s="254">
        <v>36475144</v>
      </c>
      <c r="AA205" s="231"/>
    </row>
    <row r="206" spans="1:27" s="229" customFormat="1" ht="45">
      <c r="A206" s="251" t="s">
        <v>59</v>
      </c>
      <c r="B206" s="252" t="s">
        <v>413</v>
      </c>
      <c r="C206" s="253" t="s">
        <v>432</v>
      </c>
      <c r="D206" s="251" t="s">
        <v>11</v>
      </c>
      <c r="E206" s="251" t="s">
        <v>310</v>
      </c>
      <c r="F206" s="251"/>
      <c r="G206" s="251"/>
      <c r="H206" s="251"/>
      <c r="I206" s="251"/>
      <c r="J206" s="251"/>
      <c r="K206" s="251"/>
      <c r="L206" s="251" t="s">
        <v>116</v>
      </c>
      <c r="M206" s="251" t="s">
        <v>117</v>
      </c>
      <c r="N206" s="251" t="s">
        <v>118</v>
      </c>
      <c r="O206" s="252" t="s">
        <v>433</v>
      </c>
      <c r="P206" s="254">
        <v>127000000</v>
      </c>
      <c r="Q206" s="254">
        <v>0</v>
      </c>
      <c r="R206" s="254">
        <v>0</v>
      </c>
      <c r="S206" s="254">
        <v>127000000</v>
      </c>
      <c r="T206" s="254">
        <v>0</v>
      </c>
      <c r="U206" s="254">
        <v>125563617</v>
      </c>
      <c r="V206" s="254">
        <v>1436383</v>
      </c>
      <c r="W206" s="254">
        <v>0</v>
      </c>
      <c r="X206" s="254">
        <v>0</v>
      </c>
      <c r="Y206" s="254">
        <v>0</v>
      </c>
      <c r="Z206" s="254">
        <v>0</v>
      </c>
      <c r="AA206" s="231"/>
    </row>
    <row r="207" spans="1:27" s="229" customFormat="1" ht="45">
      <c r="A207" s="251" t="s">
        <v>59</v>
      </c>
      <c r="B207" s="252" t="s">
        <v>413</v>
      </c>
      <c r="C207" s="253" t="s">
        <v>298</v>
      </c>
      <c r="D207" s="251" t="s">
        <v>11</v>
      </c>
      <c r="E207" s="251" t="s">
        <v>332</v>
      </c>
      <c r="F207" s="251" t="s">
        <v>307</v>
      </c>
      <c r="G207" s="251"/>
      <c r="H207" s="251"/>
      <c r="I207" s="251"/>
      <c r="J207" s="251"/>
      <c r="K207" s="251"/>
      <c r="L207" s="251" t="s">
        <v>116</v>
      </c>
      <c r="M207" s="251" t="s">
        <v>117</v>
      </c>
      <c r="N207" s="251" t="s">
        <v>118</v>
      </c>
      <c r="O207" s="252" t="s">
        <v>333</v>
      </c>
      <c r="P207" s="254">
        <v>4000000</v>
      </c>
      <c r="Q207" s="254">
        <v>0</v>
      </c>
      <c r="R207" s="254">
        <v>0</v>
      </c>
      <c r="S207" s="254">
        <v>4000000</v>
      </c>
      <c r="T207" s="254">
        <v>0</v>
      </c>
      <c r="U207" s="254">
        <v>0</v>
      </c>
      <c r="V207" s="254">
        <v>4000000</v>
      </c>
      <c r="W207" s="254">
        <v>0</v>
      </c>
      <c r="X207" s="254">
        <v>0</v>
      </c>
      <c r="Y207" s="254">
        <v>0</v>
      </c>
      <c r="Z207" s="254">
        <v>0</v>
      </c>
      <c r="AA207" s="231"/>
    </row>
    <row r="208" spans="1:27" s="229" customFormat="1" ht="45">
      <c r="A208" s="251" t="s">
        <v>59</v>
      </c>
      <c r="B208" s="252" t="s">
        <v>413</v>
      </c>
      <c r="C208" s="253" t="s">
        <v>294</v>
      </c>
      <c r="D208" s="251" t="s">
        <v>11</v>
      </c>
      <c r="E208" s="251" t="s">
        <v>332</v>
      </c>
      <c r="F208" s="251" t="s">
        <v>318</v>
      </c>
      <c r="G208" s="251" t="s">
        <v>307</v>
      </c>
      <c r="H208" s="251"/>
      <c r="I208" s="251"/>
      <c r="J208" s="251"/>
      <c r="K208" s="251"/>
      <c r="L208" s="251" t="s">
        <v>116</v>
      </c>
      <c r="M208" s="251" t="s">
        <v>125</v>
      </c>
      <c r="N208" s="251" t="s">
        <v>126</v>
      </c>
      <c r="O208" s="252" t="s">
        <v>334</v>
      </c>
      <c r="P208" s="254">
        <v>13000000</v>
      </c>
      <c r="Q208" s="254">
        <v>0</v>
      </c>
      <c r="R208" s="254">
        <v>0</v>
      </c>
      <c r="S208" s="254">
        <v>13000000</v>
      </c>
      <c r="T208" s="254">
        <v>0</v>
      </c>
      <c r="U208" s="254">
        <v>0</v>
      </c>
      <c r="V208" s="254">
        <v>13000000</v>
      </c>
      <c r="W208" s="254">
        <v>0</v>
      </c>
      <c r="X208" s="254">
        <v>0</v>
      </c>
      <c r="Y208" s="254">
        <v>0</v>
      </c>
      <c r="Z208" s="254">
        <v>0</v>
      </c>
      <c r="AA208" s="231"/>
    </row>
    <row r="209" spans="1:27" s="229" customFormat="1" ht="45">
      <c r="A209" s="251" t="s">
        <v>69</v>
      </c>
      <c r="B209" s="252" t="s">
        <v>414</v>
      </c>
      <c r="C209" s="253" t="s">
        <v>306</v>
      </c>
      <c r="D209" s="251" t="s">
        <v>11</v>
      </c>
      <c r="E209" s="251" t="s">
        <v>307</v>
      </c>
      <c r="F209" s="251" t="s">
        <v>307</v>
      </c>
      <c r="G209" s="251" t="s">
        <v>307</v>
      </c>
      <c r="H209" s="251"/>
      <c r="I209" s="251"/>
      <c r="J209" s="251"/>
      <c r="K209" s="251"/>
      <c r="L209" s="251" t="s">
        <v>116</v>
      </c>
      <c r="M209" s="251" t="s">
        <v>117</v>
      </c>
      <c r="N209" s="251" t="s">
        <v>118</v>
      </c>
      <c r="O209" s="252" t="s">
        <v>308</v>
      </c>
      <c r="P209" s="254">
        <v>1610937940</v>
      </c>
      <c r="Q209" s="254">
        <v>0</v>
      </c>
      <c r="R209" s="254">
        <v>0</v>
      </c>
      <c r="S209" s="254">
        <v>1610937940</v>
      </c>
      <c r="T209" s="254">
        <v>0</v>
      </c>
      <c r="U209" s="254">
        <v>225613364</v>
      </c>
      <c r="V209" s="254">
        <v>1385324576</v>
      </c>
      <c r="W209" s="254">
        <v>225613364</v>
      </c>
      <c r="X209" s="254">
        <v>225613364</v>
      </c>
      <c r="Y209" s="254">
        <v>225613364</v>
      </c>
      <c r="Z209" s="254">
        <v>225613364</v>
      </c>
      <c r="AA209" s="231"/>
    </row>
    <row r="210" spans="1:27" s="229" customFormat="1" ht="45">
      <c r="A210" s="251" t="s">
        <v>69</v>
      </c>
      <c r="B210" s="252" t="s">
        <v>414</v>
      </c>
      <c r="C210" s="253" t="s">
        <v>309</v>
      </c>
      <c r="D210" s="251" t="s">
        <v>11</v>
      </c>
      <c r="E210" s="251" t="s">
        <v>307</v>
      </c>
      <c r="F210" s="251" t="s">
        <v>307</v>
      </c>
      <c r="G210" s="251" t="s">
        <v>310</v>
      </c>
      <c r="H210" s="251"/>
      <c r="I210" s="251"/>
      <c r="J210" s="251"/>
      <c r="K210" s="251"/>
      <c r="L210" s="251" t="s">
        <v>116</v>
      </c>
      <c r="M210" s="251" t="s">
        <v>117</v>
      </c>
      <c r="N210" s="251" t="s">
        <v>118</v>
      </c>
      <c r="O210" s="252" t="s">
        <v>311</v>
      </c>
      <c r="P210" s="254">
        <v>467760860</v>
      </c>
      <c r="Q210" s="254">
        <v>0</v>
      </c>
      <c r="R210" s="254">
        <v>0</v>
      </c>
      <c r="S210" s="254">
        <v>467760860</v>
      </c>
      <c r="T210" s="254">
        <v>0</v>
      </c>
      <c r="U210" s="254">
        <v>104218466</v>
      </c>
      <c r="V210" s="254">
        <v>363542394</v>
      </c>
      <c r="W210" s="254">
        <v>104218466</v>
      </c>
      <c r="X210" s="254">
        <v>104218466</v>
      </c>
      <c r="Y210" s="254">
        <v>104218466</v>
      </c>
      <c r="Z210" s="254">
        <v>104218466</v>
      </c>
      <c r="AA210" s="231"/>
    </row>
    <row r="211" spans="1:27" s="229" customFormat="1" ht="45">
      <c r="A211" s="251" t="s">
        <v>69</v>
      </c>
      <c r="B211" s="252" t="s">
        <v>414</v>
      </c>
      <c r="C211" s="253" t="s">
        <v>312</v>
      </c>
      <c r="D211" s="251" t="s">
        <v>11</v>
      </c>
      <c r="E211" s="251" t="s">
        <v>307</v>
      </c>
      <c r="F211" s="251" t="s">
        <v>307</v>
      </c>
      <c r="G211" s="251" t="s">
        <v>313</v>
      </c>
      <c r="H211" s="251"/>
      <c r="I211" s="251"/>
      <c r="J211" s="251"/>
      <c r="K211" s="251"/>
      <c r="L211" s="251" t="s">
        <v>116</v>
      </c>
      <c r="M211" s="251" t="s">
        <v>117</v>
      </c>
      <c r="N211" s="251" t="s">
        <v>118</v>
      </c>
      <c r="O211" s="252" t="s">
        <v>314</v>
      </c>
      <c r="P211" s="254">
        <v>212589320</v>
      </c>
      <c r="Q211" s="254">
        <v>0</v>
      </c>
      <c r="R211" s="254">
        <v>0</v>
      </c>
      <c r="S211" s="254">
        <v>212589320</v>
      </c>
      <c r="T211" s="254">
        <v>0</v>
      </c>
      <c r="U211" s="254">
        <v>34331625</v>
      </c>
      <c r="V211" s="254">
        <v>178257695</v>
      </c>
      <c r="W211" s="254">
        <v>34331625</v>
      </c>
      <c r="X211" s="254">
        <v>24916580</v>
      </c>
      <c r="Y211" s="254">
        <v>24916580</v>
      </c>
      <c r="Z211" s="254">
        <v>24916580</v>
      </c>
      <c r="AA211" s="231"/>
    </row>
    <row r="212" spans="1:27" s="229" customFormat="1" ht="45">
      <c r="A212" s="251" t="s">
        <v>69</v>
      </c>
      <c r="B212" s="252" t="s">
        <v>414</v>
      </c>
      <c r="C212" s="253" t="s">
        <v>432</v>
      </c>
      <c r="D212" s="251" t="s">
        <v>11</v>
      </c>
      <c r="E212" s="251" t="s">
        <v>310</v>
      </c>
      <c r="F212" s="251"/>
      <c r="G212" s="251"/>
      <c r="H212" s="251"/>
      <c r="I212" s="251"/>
      <c r="J212" s="251"/>
      <c r="K212" s="251"/>
      <c r="L212" s="251" t="s">
        <v>116</v>
      </c>
      <c r="M212" s="251" t="s">
        <v>117</v>
      </c>
      <c r="N212" s="251" t="s">
        <v>118</v>
      </c>
      <c r="O212" s="252" t="s">
        <v>433</v>
      </c>
      <c r="P212" s="254">
        <v>161673600</v>
      </c>
      <c r="Q212" s="254">
        <v>0</v>
      </c>
      <c r="R212" s="254">
        <v>0</v>
      </c>
      <c r="S212" s="254">
        <v>161673600</v>
      </c>
      <c r="T212" s="254">
        <v>0</v>
      </c>
      <c r="U212" s="254">
        <v>110518272</v>
      </c>
      <c r="V212" s="254">
        <v>51155328</v>
      </c>
      <c r="W212" s="254">
        <v>71198272</v>
      </c>
      <c r="X212" s="254">
        <v>27914792</v>
      </c>
      <c r="Y212" s="254">
        <v>27006824</v>
      </c>
      <c r="Z212" s="254">
        <v>27006824</v>
      </c>
      <c r="AA212" s="231"/>
    </row>
    <row r="213" spans="1:27" s="229" customFormat="1" ht="45">
      <c r="A213" s="251" t="s">
        <v>69</v>
      </c>
      <c r="B213" s="252" t="s">
        <v>414</v>
      </c>
      <c r="C213" s="253" t="s">
        <v>298</v>
      </c>
      <c r="D213" s="251" t="s">
        <v>11</v>
      </c>
      <c r="E213" s="251" t="s">
        <v>332</v>
      </c>
      <c r="F213" s="251" t="s">
        <v>307</v>
      </c>
      <c r="G213" s="251"/>
      <c r="H213" s="251"/>
      <c r="I213" s="251"/>
      <c r="J213" s="251"/>
      <c r="K213" s="251"/>
      <c r="L213" s="251" t="s">
        <v>116</v>
      </c>
      <c r="M213" s="251" t="s">
        <v>117</v>
      </c>
      <c r="N213" s="251" t="s">
        <v>118</v>
      </c>
      <c r="O213" s="252" t="s">
        <v>333</v>
      </c>
      <c r="P213" s="254">
        <v>4329600</v>
      </c>
      <c r="Q213" s="254">
        <v>0</v>
      </c>
      <c r="R213" s="254">
        <v>0</v>
      </c>
      <c r="S213" s="254">
        <v>4329600</v>
      </c>
      <c r="T213" s="254">
        <v>0</v>
      </c>
      <c r="U213" s="254">
        <v>0</v>
      </c>
      <c r="V213" s="254">
        <v>4329600</v>
      </c>
      <c r="W213" s="254">
        <v>0</v>
      </c>
      <c r="X213" s="254">
        <v>0</v>
      </c>
      <c r="Y213" s="254">
        <v>0</v>
      </c>
      <c r="Z213" s="254">
        <v>0</v>
      </c>
      <c r="AA213" s="231"/>
    </row>
    <row r="214" spans="1:27" s="229" customFormat="1" ht="45">
      <c r="A214" s="251" t="s">
        <v>69</v>
      </c>
      <c r="B214" s="252" t="s">
        <v>414</v>
      </c>
      <c r="C214" s="253" t="s">
        <v>294</v>
      </c>
      <c r="D214" s="251" t="s">
        <v>11</v>
      </c>
      <c r="E214" s="251" t="s">
        <v>332</v>
      </c>
      <c r="F214" s="251" t="s">
        <v>318</v>
      </c>
      <c r="G214" s="251" t="s">
        <v>307</v>
      </c>
      <c r="H214" s="251"/>
      <c r="I214" s="251"/>
      <c r="J214" s="251"/>
      <c r="K214" s="251"/>
      <c r="L214" s="251" t="s">
        <v>116</v>
      </c>
      <c r="M214" s="251" t="s">
        <v>125</v>
      </c>
      <c r="N214" s="251" t="s">
        <v>126</v>
      </c>
      <c r="O214" s="252" t="s">
        <v>334</v>
      </c>
      <c r="P214" s="254">
        <v>12249600</v>
      </c>
      <c r="Q214" s="254">
        <v>0</v>
      </c>
      <c r="R214" s="254">
        <v>0</v>
      </c>
      <c r="S214" s="254">
        <v>12249600</v>
      </c>
      <c r="T214" s="254">
        <v>0</v>
      </c>
      <c r="U214" s="254">
        <v>0</v>
      </c>
      <c r="V214" s="254">
        <v>12249600</v>
      </c>
      <c r="W214" s="254">
        <v>0</v>
      </c>
      <c r="X214" s="254">
        <v>0</v>
      </c>
      <c r="Y214" s="254">
        <v>0</v>
      </c>
      <c r="Z214" s="254">
        <v>0</v>
      </c>
      <c r="AA214" s="231"/>
    </row>
    <row r="215" spans="1:27" s="229" customFormat="1" ht="45">
      <c r="A215" s="251" t="s">
        <v>69</v>
      </c>
      <c r="B215" s="252" t="s">
        <v>414</v>
      </c>
      <c r="C215" s="253" t="s">
        <v>436</v>
      </c>
      <c r="D215" s="251" t="s">
        <v>430</v>
      </c>
      <c r="E215" s="251" t="s">
        <v>117</v>
      </c>
      <c r="F215" s="251" t="s">
        <v>318</v>
      </c>
      <c r="G215" s="251" t="s">
        <v>307</v>
      </c>
      <c r="H215" s="251"/>
      <c r="I215" s="251"/>
      <c r="J215" s="251"/>
      <c r="K215" s="251"/>
      <c r="L215" s="251" t="s">
        <v>116</v>
      </c>
      <c r="M215" s="251" t="s">
        <v>125</v>
      </c>
      <c r="N215" s="251" t="s">
        <v>118</v>
      </c>
      <c r="O215" s="252" t="s">
        <v>437</v>
      </c>
      <c r="P215" s="254">
        <v>38034986</v>
      </c>
      <c r="Q215" s="254">
        <v>0</v>
      </c>
      <c r="R215" s="254">
        <v>0</v>
      </c>
      <c r="S215" s="254">
        <v>38034986</v>
      </c>
      <c r="T215" s="254">
        <v>0</v>
      </c>
      <c r="U215" s="254">
        <v>0</v>
      </c>
      <c r="V215" s="254">
        <v>38034986</v>
      </c>
      <c r="W215" s="254">
        <v>0</v>
      </c>
      <c r="X215" s="254">
        <v>0</v>
      </c>
      <c r="Y215" s="254">
        <v>0</v>
      </c>
      <c r="Z215" s="254">
        <v>0</v>
      </c>
      <c r="AA215" s="231"/>
    </row>
    <row r="216" spans="1:27" s="229" customFormat="1" ht="33.75">
      <c r="A216" s="251" t="s">
        <v>71</v>
      </c>
      <c r="B216" s="252" t="s">
        <v>415</v>
      </c>
      <c r="C216" s="253" t="s">
        <v>306</v>
      </c>
      <c r="D216" s="251" t="s">
        <v>11</v>
      </c>
      <c r="E216" s="251" t="s">
        <v>307</v>
      </c>
      <c r="F216" s="251" t="s">
        <v>307</v>
      </c>
      <c r="G216" s="251" t="s">
        <v>307</v>
      </c>
      <c r="H216" s="251"/>
      <c r="I216" s="251"/>
      <c r="J216" s="251"/>
      <c r="K216" s="251"/>
      <c r="L216" s="251" t="s">
        <v>116</v>
      </c>
      <c r="M216" s="251" t="s">
        <v>117</v>
      </c>
      <c r="N216" s="251" t="s">
        <v>118</v>
      </c>
      <c r="O216" s="252" t="s">
        <v>308</v>
      </c>
      <c r="P216" s="254">
        <v>1504000000</v>
      </c>
      <c r="Q216" s="254">
        <v>0</v>
      </c>
      <c r="R216" s="254">
        <v>0</v>
      </c>
      <c r="S216" s="254">
        <v>1504000000</v>
      </c>
      <c r="T216" s="254">
        <v>0</v>
      </c>
      <c r="U216" s="254">
        <v>111268603</v>
      </c>
      <c r="V216" s="254">
        <v>1392731397</v>
      </c>
      <c r="W216" s="254">
        <v>111268603</v>
      </c>
      <c r="X216" s="254">
        <v>111268603</v>
      </c>
      <c r="Y216" s="254">
        <v>111268603</v>
      </c>
      <c r="Z216" s="254">
        <v>111268603</v>
      </c>
      <c r="AA216" s="231"/>
    </row>
    <row r="217" spans="1:27" s="229" customFormat="1" ht="33.75">
      <c r="A217" s="251" t="s">
        <v>71</v>
      </c>
      <c r="B217" s="252" t="s">
        <v>415</v>
      </c>
      <c r="C217" s="253" t="s">
        <v>309</v>
      </c>
      <c r="D217" s="251" t="s">
        <v>11</v>
      </c>
      <c r="E217" s="251" t="s">
        <v>307</v>
      </c>
      <c r="F217" s="251" t="s">
        <v>307</v>
      </c>
      <c r="G217" s="251" t="s">
        <v>310</v>
      </c>
      <c r="H217" s="251"/>
      <c r="I217" s="251"/>
      <c r="J217" s="251"/>
      <c r="K217" s="251"/>
      <c r="L217" s="251" t="s">
        <v>116</v>
      </c>
      <c r="M217" s="251" t="s">
        <v>117</v>
      </c>
      <c r="N217" s="251" t="s">
        <v>118</v>
      </c>
      <c r="O217" s="252" t="s">
        <v>311</v>
      </c>
      <c r="P217" s="254">
        <v>466000000</v>
      </c>
      <c r="Q217" s="254">
        <v>0</v>
      </c>
      <c r="R217" s="254">
        <v>0</v>
      </c>
      <c r="S217" s="254">
        <v>466000000</v>
      </c>
      <c r="T217" s="254">
        <v>0</v>
      </c>
      <c r="U217" s="254">
        <v>47731397</v>
      </c>
      <c r="V217" s="254">
        <v>418268603</v>
      </c>
      <c r="W217" s="254">
        <v>47731397</v>
      </c>
      <c r="X217" s="254">
        <v>47731397</v>
      </c>
      <c r="Y217" s="254">
        <v>47731397</v>
      </c>
      <c r="Z217" s="254">
        <v>47731397</v>
      </c>
      <c r="AA217" s="231"/>
    </row>
    <row r="218" spans="1:27" s="229" customFormat="1" ht="33.75">
      <c r="A218" s="251" t="s">
        <v>71</v>
      </c>
      <c r="B218" s="252" t="s">
        <v>415</v>
      </c>
      <c r="C218" s="253" t="s">
        <v>312</v>
      </c>
      <c r="D218" s="251" t="s">
        <v>11</v>
      </c>
      <c r="E218" s="251" t="s">
        <v>307</v>
      </c>
      <c r="F218" s="251" t="s">
        <v>307</v>
      </c>
      <c r="G218" s="251" t="s">
        <v>313</v>
      </c>
      <c r="H218" s="251"/>
      <c r="I218" s="251"/>
      <c r="J218" s="251"/>
      <c r="K218" s="251"/>
      <c r="L218" s="251" t="s">
        <v>116</v>
      </c>
      <c r="M218" s="251" t="s">
        <v>117</v>
      </c>
      <c r="N218" s="251" t="s">
        <v>118</v>
      </c>
      <c r="O218" s="252" t="s">
        <v>314</v>
      </c>
      <c r="P218" s="254">
        <v>283000000</v>
      </c>
      <c r="Q218" s="254">
        <v>0</v>
      </c>
      <c r="R218" s="254">
        <v>0</v>
      </c>
      <c r="S218" s="254">
        <v>283000000</v>
      </c>
      <c r="T218" s="254">
        <v>0</v>
      </c>
      <c r="U218" s="254">
        <v>21000000</v>
      </c>
      <c r="V218" s="254">
        <v>262000000</v>
      </c>
      <c r="W218" s="254">
        <v>21000000</v>
      </c>
      <c r="X218" s="254">
        <v>21000000</v>
      </c>
      <c r="Y218" s="254">
        <v>21000000</v>
      </c>
      <c r="Z218" s="254">
        <v>21000000</v>
      </c>
      <c r="AA218" s="231"/>
    </row>
    <row r="219" spans="1:27" s="229" customFormat="1" ht="33.75">
      <c r="A219" s="251" t="s">
        <v>71</v>
      </c>
      <c r="B219" s="252" t="s">
        <v>415</v>
      </c>
      <c r="C219" s="253" t="s">
        <v>432</v>
      </c>
      <c r="D219" s="251" t="s">
        <v>11</v>
      </c>
      <c r="E219" s="251" t="s">
        <v>310</v>
      </c>
      <c r="F219" s="251"/>
      <c r="G219" s="251"/>
      <c r="H219" s="251"/>
      <c r="I219" s="251"/>
      <c r="J219" s="251"/>
      <c r="K219" s="251"/>
      <c r="L219" s="251" t="s">
        <v>116</v>
      </c>
      <c r="M219" s="251" t="s">
        <v>117</v>
      </c>
      <c r="N219" s="251" t="s">
        <v>118</v>
      </c>
      <c r="O219" s="252" t="s">
        <v>433</v>
      </c>
      <c r="P219" s="254">
        <v>70000000</v>
      </c>
      <c r="Q219" s="254">
        <v>0</v>
      </c>
      <c r="R219" s="254">
        <v>0</v>
      </c>
      <c r="S219" s="254">
        <v>70000000</v>
      </c>
      <c r="T219" s="254">
        <v>0</v>
      </c>
      <c r="U219" s="254">
        <v>70000000</v>
      </c>
      <c r="V219" s="254">
        <v>0</v>
      </c>
      <c r="W219" s="254">
        <v>8000000</v>
      </c>
      <c r="X219" s="254">
        <v>8000000</v>
      </c>
      <c r="Y219" s="254">
        <v>8000000</v>
      </c>
      <c r="Z219" s="254">
        <v>0</v>
      </c>
      <c r="AA219" s="231"/>
    </row>
    <row r="220" spans="1:27" s="229" customFormat="1" ht="33.75">
      <c r="A220" s="251" t="s">
        <v>71</v>
      </c>
      <c r="B220" s="252" t="s">
        <v>415</v>
      </c>
      <c r="C220" s="253" t="s">
        <v>294</v>
      </c>
      <c r="D220" s="251" t="s">
        <v>11</v>
      </c>
      <c r="E220" s="251" t="s">
        <v>332</v>
      </c>
      <c r="F220" s="251" t="s">
        <v>318</v>
      </c>
      <c r="G220" s="251" t="s">
        <v>307</v>
      </c>
      <c r="H220" s="251"/>
      <c r="I220" s="251"/>
      <c r="J220" s="251"/>
      <c r="K220" s="251"/>
      <c r="L220" s="251" t="s">
        <v>116</v>
      </c>
      <c r="M220" s="251" t="s">
        <v>125</v>
      </c>
      <c r="N220" s="251" t="s">
        <v>126</v>
      </c>
      <c r="O220" s="252" t="s">
        <v>334</v>
      </c>
      <c r="P220" s="254">
        <v>7000000</v>
      </c>
      <c r="Q220" s="254">
        <v>0</v>
      </c>
      <c r="R220" s="254">
        <v>0</v>
      </c>
      <c r="S220" s="254">
        <v>7000000</v>
      </c>
      <c r="T220" s="254">
        <v>0</v>
      </c>
      <c r="U220" s="254">
        <v>0</v>
      </c>
      <c r="V220" s="254">
        <v>7000000</v>
      </c>
      <c r="W220" s="254">
        <v>0</v>
      </c>
      <c r="X220" s="254">
        <v>0</v>
      </c>
      <c r="Y220" s="254">
        <v>0</v>
      </c>
      <c r="Z220" s="254">
        <v>0</v>
      </c>
      <c r="AA220" s="231"/>
    </row>
    <row r="221" spans="1:27" s="229" customFormat="1" ht="33.75">
      <c r="A221" s="251" t="s">
        <v>71</v>
      </c>
      <c r="B221" s="252" t="s">
        <v>415</v>
      </c>
      <c r="C221" s="253" t="s">
        <v>436</v>
      </c>
      <c r="D221" s="251" t="s">
        <v>430</v>
      </c>
      <c r="E221" s="251" t="s">
        <v>117</v>
      </c>
      <c r="F221" s="251" t="s">
        <v>318</v>
      </c>
      <c r="G221" s="251" t="s">
        <v>307</v>
      </c>
      <c r="H221" s="251"/>
      <c r="I221" s="251"/>
      <c r="J221" s="251"/>
      <c r="K221" s="251"/>
      <c r="L221" s="251" t="s">
        <v>116</v>
      </c>
      <c r="M221" s="251" t="s">
        <v>125</v>
      </c>
      <c r="N221" s="251" t="s">
        <v>118</v>
      </c>
      <c r="O221" s="252" t="s">
        <v>437</v>
      </c>
      <c r="P221" s="254">
        <v>107621743</v>
      </c>
      <c r="Q221" s="254">
        <v>0</v>
      </c>
      <c r="R221" s="254">
        <v>0</v>
      </c>
      <c r="S221" s="254">
        <v>107621743</v>
      </c>
      <c r="T221" s="254">
        <v>0</v>
      </c>
      <c r="U221" s="254">
        <v>0</v>
      </c>
      <c r="V221" s="254">
        <v>107621743</v>
      </c>
      <c r="W221" s="254">
        <v>0</v>
      </c>
      <c r="X221" s="254">
        <v>0</v>
      </c>
      <c r="Y221" s="254">
        <v>0</v>
      </c>
      <c r="Z221" s="254">
        <v>0</v>
      </c>
      <c r="AA221" s="231"/>
    </row>
    <row r="222" spans="1:27" s="229" customFormat="1" ht="22.5">
      <c r="A222" s="251" t="s">
        <v>55</v>
      </c>
      <c r="B222" s="252" t="s">
        <v>416</v>
      </c>
      <c r="C222" s="253" t="s">
        <v>306</v>
      </c>
      <c r="D222" s="251" t="s">
        <v>11</v>
      </c>
      <c r="E222" s="251" t="s">
        <v>307</v>
      </c>
      <c r="F222" s="251" t="s">
        <v>307</v>
      </c>
      <c r="G222" s="251" t="s">
        <v>307</v>
      </c>
      <c r="H222" s="251"/>
      <c r="I222" s="251"/>
      <c r="J222" s="251"/>
      <c r="K222" s="251"/>
      <c r="L222" s="251" t="s">
        <v>116</v>
      </c>
      <c r="M222" s="251" t="s">
        <v>117</v>
      </c>
      <c r="N222" s="251" t="s">
        <v>118</v>
      </c>
      <c r="O222" s="252" t="s">
        <v>308</v>
      </c>
      <c r="P222" s="254">
        <v>1936000000</v>
      </c>
      <c r="Q222" s="254">
        <v>0</v>
      </c>
      <c r="R222" s="254">
        <v>0</v>
      </c>
      <c r="S222" s="254">
        <v>1936000000</v>
      </c>
      <c r="T222" s="254">
        <v>0</v>
      </c>
      <c r="U222" s="254">
        <v>325000000</v>
      </c>
      <c r="V222" s="254">
        <v>1611000000</v>
      </c>
      <c r="W222" s="254">
        <v>325000000</v>
      </c>
      <c r="X222" s="254">
        <v>325000000</v>
      </c>
      <c r="Y222" s="254">
        <v>325000000</v>
      </c>
      <c r="Z222" s="254">
        <v>157000000</v>
      </c>
      <c r="AA222" s="231"/>
    </row>
    <row r="223" spans="1:27" s="229" customFormat="1" ht="22.5">
      <c r="A223" s="251" t="s">
        <v>55</v>
      </c>
      <c r="B223" s="252" t="s">
        <v>416</v>
      </c>
      <c r="C223" s="253" t="s">
        <v>309</v>
      </c>
      <c r="D223" s="251" t="s">
        <v>11</v>
      </c>
      <c r="E223" s="251" t="s">
        <v>307</v>
      </c>
      <c r="F223" s="251" t="s">
        <v>307</v>
      </c>
      <c r="G223" s="251" t="s">
        <v>310</v>
      </c>
      <c r="H223" s="251"/>
      <c r="I223" s="251"/>
      <c r="J223" s="251"/>
      <c r="K223" s="251"/>
      <c r="L223" s="251" t="s">
        <v>116</v>
      </c>
      <c r="M223" s="251" t="s">
        <v>117</v>
      </c>
      <c r="N223" s="251" t="s">
        <v>118</v>
      </c>
      <c r="O223" s="252" t="s">
        <v>311</v>
      </c>
      <c r="P223" s="254">
        <v>401000000</v>
      </c>
      <c r="Q223" s="254">
        <v>0</v>
      </c>
      <c r="R223" s="254">
        <v>0</v>
      </c>
      <c r="S223" s="254">
        <v>401000000</v>
      </c>
      <c r="T223" s="254">
        <v>0</v>
      </c>
      <c r="U223" s="254">
        <v>130000000</v>
      </c>
      <c r="V223" s="254">
        <v>271000000</v>
      </c>
      <c r="W223" s="254">
        <v>130000000</v>
      </c>
      <c r="X223" s="254">
        <v>130000000</v>
      </c>
      <c r="Y223" s="254">
        <v>130000000</v>
      </c>
      <c r="Z223" s="254">
        <v>68000000</v>
      </c>
      <c r="AA223" s="231"/>
    </row>
    <row r="224" spans="1:27" s="229" customFormat="1" ht="33.75">
      <c r="A224" s="251" t="s">
        <v>55</v>
      </c>
      <c r="B224" s="252" t="s">
        <v>416</v>
      </c>
      <c r="C224" s="253" t="s">
        <v>312</v>
      </c>
      <c r="D224" s="251" t="s">
        <v>11</v>
      </c>
      <c r="E224" s="251" t="s">
        <v>307</v>
      </c>
      <c r="F224" s="251" t="s">
        <v>307</v>
      </c>
      <c r="G224" s="251" t="s">
        <v>313</v>
      </c>
      <c r="H224" s="251"/>
      <c r="I224" s="251"/>
      <c r="J224" s="251"/>
      <c r="K224" s="251"/>
      <c r="L224" s="251" t="s">
        <v>116</v>
      </c>
      <c r="M224" s="251" t="s">
        <v>117</v>
      </c>
      <c r="N224" s="251" t="s">
        <v>118</v>
      </c>
      <c r="O224" s="252" t="s">
        <v>314</v>
      </c>
      <c r="P224" s="254">
        <v>227000000</v>
      </c>
      <c r="Q224" s="254">
        <v>0</v>
      </c>
      <c r="R224" s="254">
        <v>0</v>
      </c>
      <c r="S224" s="254">
        <v>227000000</v>
      </c>
      <c r="T224" s="254">
        <v>0</v>
      </c>
      <c r="U224" s="254">
        <v>45000000</v>
      </c>
      <c r="V224" s="254">
        <v>182000000</v>
      </c>
      <c r="W224" s="254">
        <v>45000000</v>
      </c>
      <c r="X224" s="254">
        <v>45000000</v>
      </c>
      <c r="Y224" s="254">
        <v>45000000</v>
      </c>
      <c r="Z224" s="254">
        <v>25000000</v>
      </c>
      <c r="AA224" s="231"/>
    </row>
    <row r="225" spans="1:27" s="229" customFormat="1" ht="22.5">
      <c r="A225" s="251" t="s">
        <v>55</v>
      </c>
      <c r="B225" s="252" t="s">
        <v>416</v>
      </c>
      <c r="C225" s="253" t="s">
        <v>432</v>
      </c>
      <c r="D225" s="251" t="s">
        <v>11</v>
      </c>
      <c r="E225" s="251" t="s">
        <v>310</v>
      </c>
      <c r="F225" s="251"/>
      <c r="G225" s="251"/>
      <c r="H225" s="251"/>
      <c r="I225" s="251"/>
      <c r="J225" s="251"/>
      <c r="K225" s="251"/>
      <c r="L225" s="251" t="s">
        <v>116</v>
      </c>
      <c r="M225" s="251" t="s">
        <v>117</v>
      </c>
      <c r="N225" s="251" t="s">
        <v>118</v>
      </c>
      <c r="O225" s="252" t="s">
        <v>433</v>
      </c>
      <c r="P225" s="254">
        <v>154000000</v>
      </c>
      <c r="Q225" s="254">
        <v>0</v>
      </c>
      <c r="R225" s="254">
        <v>0</v>
      </c>
      <c r="S225" s="254">
        <v>154000000</v>
      </c>
      <c r="T225" s="254">
        <v>0</v>
      </c>
      <c r="U225" s="254">
        <v>154000000</v>
      </c>
      <c r="V225" s="254">
        <v>0</v>
      </c>
      <c r="W225" s="254">
        <v>1341906</v>
      </c>
      <c r="X225" s="254">
        <v>0</v>
      </c>
      <c r="Y225" s="254">
        <v>0</v>
      </c>
      <c r="Z225" s="254">
        <v>0</v>
      </c>
      <c r="AA225" s="231"/>
    </row>
    <row r="226" spans="1:27" s="229" customFormat="1" ht="22.5">
      <c r="A226" s="251" t="s">
        <v>55</v>
      </c>
      <c r="B226" s="252" t="s">
        <v>416</v>
      </c>
      <c r="C226" s="253" t="s">
        <v>294</v>
      </c>
      <c r="D226" s="251" t="s">
        <v>11</v>
      </c>
      <c r="E226" s="251" t="s">
        <v>332</v>
      </c>
      <c r="F226" s="251" t="s">
        <v>318</v>
      </c>
      <c r="G226" s="251" t="s">
        <v>307</v>
      </c>
      <c r="H226" s="251"/>
      <c r="I226" s="251"/>
      <c r="J226" s="251"/>
      <c r="K226" s="251"/>
      <c r="L226" s="251" t="s">
        <v>116</v>
      </c>
      <c r="M226" s="251" t="s">
        <v>125</v>
      </c>
      <c r="N226" s="251" t="s">
        <v>126</v>
      </c>
      <c r="O226" s="252" t="s">
        <v>334</v>
      </c>
      <c r="P226" s="254">
        <v>13000000</v>
      </c>
      <c r="Q226" s="254">
        <v>0</v>
      </c>
      <c r="R226" s="254">
        <v>0</v>
      </c>
      <c r="S226" s="254">
        <v>13000000</v>
      </c>
      <c r="T226" s="254">
        <v>0</v>
      </c>
      <c r="U226" s="254">
        <v>0</v>
      </c>
      <c r="V226" s="254">
        <v>13000000</v>
      </c>
      <c r="W226" s="254">
        <v>0</v>
      </c>
      <c r="X226" s="254">
        <v>0</v>
      </c>
      <c r="Y226" s="254">
        <v>0</v>
      </c>
      <c r="Z226" s="254">
        <v>0</v>
      </c>
      <c r="AA226" s="231"/>
    </row>
    <row r="227" spans="1:27" s="229" customFormat="1" ht="33.75">
      <c r="A227" s="251" t="s">
        <v>55</v>
      </c>
      <c r="B227" s="252" t="s">
        <v>416</v>
      </c>
      <c r="C227" s="253" t="s">
        <v>426</v>
      </c>
      <c r="D227" s="251" t="s">
        <v>16</v>
      </c>
      <c r="E227" s="251" t="s">
        <v>136</v>
      </c>
      <c r="F227" s="251" t="s">
        <v>132</v>
      </c>
      <c r="G227" s="251" t="s">
        <v>441</v>
      </c>
      <c r="H227" s="251" t="s">
        <v>84</v>
      </c>
      <c r="I227" s="251" t="s">
        <v>84</v>
      </c>
      <c r="J227" s="251" t="s">
        <v>84</v>
      </c>
      <c r="K227" s="251" t="s">
        <v>84</v>
      </c>
      <c r="L227" s="251" t="s">
        <v>116</v>
      </c>
      <c r="M227" s="251" t="s">
        <v>125</v>
      </c>
      <c r="N227" s="251" t="s">
        <v>118</v>
      </c>
      <c r="O227" s="252" t="s">
        <v>534</v>
      </c>
      <c r="P227" s="254">
        <v>11987095610</v>
      </c>
      <c r="Q227" s="254">
        <v>0</v>
      </c>
      <c r="R227" s="254">
        <v>0</v>
      </c>
      <c r="S227" s="254">
        <v>11987095610</v>
      </c>
      <c r="T227" s="254">
        <v>0</v>
      </c>
      <c r="U227" s="254">
        <v>11490844227</v>
      </c>
      <c r="V227" s="254">
        <v>496251383</v>
      </c>
      <c r="W227" s="254">
        <v>0</v>
      </c>
      <c r="X227" s="254">
        <v>0</v>
      </c>
      <c r="Y227" s="254">
        <v>0</v>
      </c>
      <c r="Z227" s="254">
        <v>0</v>
      </c>
      <c r="AA227" s="231"/>
    </row>
    <row r="228" spans="1:27" s="229" customFormat="1" ht="33.75">
      <c r="A228" s="251" t="s">
        <v>53</v>
      </c>
      <c r="B228" s="252" t="s">
        <v>417</v>
      </c>
      <c r="C228" s="253" t="s">
        <v>306</v>
      </c>
      <c r="D228" s="251" t="s">
        <v>11</v>
      </c>
      <c r="E228" s="251" t="s">
        <v>307</v>
      </c>
      <c r="F228" s="251" t="s">
        <v>307</v>
      </c>
      <c r="G228" s="251" t="s">
        <v>307</v>
      </c>
      <c r="H228" s="251"/>
      <c r="I228" s="251"/>
      <c r="J228" s="251"/>
      <c r="K228" s="251"/>
      <c r="L228" s="251" t="s">
        <v>116</v>
      </c>
      <c r="M228" s="251" t="s">
        <v>117</v>
      </c>
      <c r="N228" s="251" t="s">
        <v>118</v>
      </c>
      <c r="O228" s="252" t="s">
        <v>308</v>
      </c>
      <c r="P228" s="254">
        <v>1933898000</v>
      </c>
      <c r="Q228" s="254">
        <v>0</v>
      </c>
      <c r="R228" s="254">
        <v>0</v>
      </c>
      <c r="S228" s="254">
        <v>1933898000</v>
      </c>
      <c r="T228" s="254">
        <v>0</v>
      </c>
      <c r="U228" s="254">
        <v>166849826</v>
      </c>
      <c r="V228" s="254">
        <v>1767048174</v>
      </c>
      <c r="W228" s="254">
        <v>166849826</v>
      </c>
      <c r="X228" s="254">
        <v>166849826</v>
      </c>
      <c r="Y228" s="254">
        <v>166849826</v>
      </c>
      <c r="Z228" s="254">
        <v>166849826</v>
      </c>
      <c r="AA228" s="231"/>
    </row>
    <row r="229" spans="1:27" s="229" customFormat="1" ht="33.75">
      <c r="A229" s="251" t="s">
        <v>53</v>
      </c>
      <c r="B229" s="252" t="s">
        <v>417</v>
      </c>
      <c r="C229" s="253" t="s">
        <v>309</v>
      </c>
      <c r="D229" s="251" t="s">
        <v>11</v>
      </c>
      <c r="E229" s="251" t="s">
        <v>307</v>
      </c>
      <c r="F229" s="251" t="s">
        <v>307</v>
      </c>
      <c r="G229" s="251" t="s">
        <v>310</v>
      </c>
      <c r="H229" s="251"/>
      <c r="I229" s="251"/>
      <c r="J229" s="251"/>
      <c r="K229" s="251"/>
      <c r="L229" s="251" t="s">
        <v>116</v>
      </c>
      <c r="M229" s="251" t="s">
        <v>117</v>
      </c>
      <c r="N229" s="251" t="s">
        <v>118</v>
      </c>
      <c r="O229" s="252" t="s">
        <v>311</v>
      </c>
      <c r="P229" s="254">
        <v>422000000</v>
      </c>
      <c r="Q229" s="254">
        <v>0</v>
      </c>
      <c r="R229" s="254">
        <v>0</v>
      </c>
      <c r="S229" s="254">
        <v>422000000</v>
      </c>
      <c r="T229" s="254">
        <v>0</v>
      </c>
      <c r="U229" s="254">
        <v>35483508</v>
      </c>
      <c r="V229" s="254">
        <v>386516492</v>
      </c>
      <c r="W229" s="254">
        <v>35483508</v>
      </c>
      <c r="X229" s="254">
        <v>35483508</v>
      </c>
      <c r="Y229" s="254">
        <v>35483508</v>
      </c>
      <c r="Z229" s="254">
        <v>35483508</v>
      </c>
      <c r="AA229" s="231"/>
    </row>
    <row r="230" spans="1:27" s="229" customFormat="1" ht="33.75">
      <c r="A230" s="251" t="s">
        <v>53</v>
      </c>
      <c r="B230" s="252" t="s">
        <v>417</v>
      </c>
      <c r="C230" s="253" t="s">
        <v>312</v>
      </c>
      <c r="D230" s="251" t="s">
        <v>11</v>
      </c>
      <c r="E230" s="251" t="s">
        <v>307</v>
      </c>
      <c r="F230" s="251" t="s">
        <v>307</v>
      </c>
      <c r="G230" s="251" t="s">
        <v>313</v>
      </c>
      <c r="H230" s="251"/>
      <c r="I230" s="251"/>
      <c r="J230" s="251"/>
      <c r="K230" s="251"/>
      <c r="L230" s="251" t="s">
        <v>116</v>
      </c>
      <c r="M230" s="251" t="s">
        <v>117</v>
      </c>
      <c r="N230" s="251" t="s">
        <v>118</v>
      </c>
      <c r="O230" s="252" t="s">
        <v>314</v>
      </c>
      <c r="P230" s="254">
        <v>187500000</v>
      </c>
      <c r="Q230" s="254">
        <v>0</v>
      </c>
      <c r="R230" s="254">
        <v>0</v>
      </c>
      <c r="S230" s="254">
        <v>187500000</v>
      </c>
      <c r="T230" s="254">
        <v>0</v>
      </c>
      <c r="U230" s="254">
        <v>17666666</v>
      </c>
      <c r="V230" s="254">
        <v>169833334</v>
      </c>
      <c r="W230" s="254">
        <v>17666666</v>
      </c>
      <c r="X230" s="254">
        <v>17666666</v>
      </c>
      <c r="Y230" s="254">
        <v>17666666</v>
      </c>
      <c r="Z230" s="254">
        <v>17666666</v>
      </c>
      <c r="AA230" s="231"/>
    </row>
    <row r="231" spans="1:27" s="229" customFormat="1" ht="33.75">
      <c r="A231" s="251" t="s">
        <v>53</v>
      </c>
      <c r="B231" s="252" t="s">
        <v>417</v>
      </c>
      <c r="C231" s="253" t="s">
        <v>432</v>
      </c>
      <c r="D231" s="251" t="s">
        <v>11</v>
      </c>
      <c r="E231" s="251" t="s">
        <v>310</v>
      </c>
      <c r="F231" s="251"/>
      <c r="G231" s="251"/>
      <c r="H231" s="251"/>
      <c r="I231" s="251"/>
      <c r="J231" s="251"/>
      <c r="K231" s="251"/>
      <c r="L231" s="251" t="s">
        <v>116</v>
      </c>
      <c r="M231" s="251" t="s">
        <v>117</v>
      </c>
      <c r="N231" s="251" t="s">
        <v>118</v>
      </c>
      <c r="O231" s="252" t="s">
        <v>433</v>
      </c>
      <c r="P231" s="254">
        <v>24500000</v>
      </c>
      <c r="Q231" s="254">
        <v>0</v>
      </c>
      <c r="R231" s="254">
        <v>0</v>
      </c>
      <c r="S231" s="254">
        <v>24500000</v>
      </c>
      <c r="T231" s="254">
        <v>0</v>
      </c>
      <c r="U231" s="254">
        <v>0</v>
      </c>
      <c r="V231" s="254">
        <v>24500000</v>
      </c>
      <c r="W231" s="254">
        <v>0</v>
      </c>
      <c r="X231" s="254">
        <v>0</v>
      </c>
      <c r="Y231" s="254">
        <v>0</v>
      </c>
      <c r="Z231" s="254">
        <v>0</v>
      </c>
      <c r="AA231" s="231"/>
    </row>
    <row r="232" spans="1:27" s="229" customFormat="1" ht="33.75">
      <c r="A232" s="251" t="s">
        <v>53</v>
      </c>
      <c r="B232" s="252" t="s">
        <v>417</v>
      </c>
      <c r="C232" s="253" t="s">
        <v>298</v>
      </c>
      <c r="D232" s="251" t="s">
        <v>11</v>
      </c>
      <c r="E232" s="251" t="s">
        <v>332</v>
      </c>
      <c r="F232" s="251" t="s">
        <v>307</v>
      </c>
      <c r="G232" s="251"/>
      <c r="H232" s="251"/>
      <c r="I232" s="251"/>
      <c r="J232" s="251"/>
      <c r="K232" s="251"/>
      <c r="L232" s="251" t="s">
        <v>116</v>
      </c>
      <c r="M232" s="251" t="s">
        <v>117</v>
      </c>
      <c r="N232" s="251" t="s">
        <v>118</v>
      </c>
      <c r="O232" s="252" t="s">
        <v>333</v>
      </c>
      <c r="P232" s="254">
        <v>1739000</v>
      </c>
      <c r="Q232" s="254">
        <v>0</v>
      </c>
      <c r="R232" s="254">
        <v>0</v>
      </c>
      <c r="S232" s="254">
        <v>1739000</v>
      </c>
      <c r="T232" s="254">
        <v>0</v>
      </c>
      <c r="U232" s="254">
        <v>0</v>
      </c>
      <c r="V232" s="254">
        <v>1739000</v>
      </c>
      <c r="W232" s="254">
        <v>0</v>
      </c>
      <c r="X232" s="254">
        <v>0</v>
      </c>
      <c r="Y232" s="254">
        <v>0</v>
      </c>
      <c r="Z232" s="254">
        <v>0</v>
      </c>
      <c r="AA232" s="231"/>
    </row>
    <row r="233" spans="1:27" s="229" customFormat="1" ht="33.75">
      <c r="A233" s="251" t="s">
        <v>53</v>
      </c>
      <c r="B233" s="252" t="s">
        <v>417</v>
      </c>
      <c r="C233" s="253" t="s">
        <v>294</v>
      </c>
      <c r="D233" s="251" t="s">
        <v>11</v>
      </c>
      <c r="E233" s="251" t="s">
        <v>332</v>
      </c>
      <c r="F233" s="251" t="s">
        <v>318</v>
      </c>
      <c r="G233" s="251" t="s">
        <v>307</v>
      </c>
      <c r="H233" s="251"/>
      <c r="I233" s="251"/>
      <c r="J233" s="251"/>
      <c r="K233" s="251"/>
      <c r="L233" s="251" t="s">
        <v>116</v>
      </c>
      <c r="M233" s="251" t="s">
        <v>125</v>
      </c>
      <c r="N233" s="251" t="s">
        <v>126</v>
      </c>
      <c r="O233" s="252" t="s">
        <v>334</v>
      </c>
      <c r="P233" s="254">
        <v>12500000</v>
      </c>
      <c r="Q233" s="254">
        <v>0</v>
      </c>
      <c r="R233" s="254">
        <v>0</v>
      </c>
      <c r="S233" s="254">
        <v>12500000</v>
      </c>
      <c r="T233" s="254">
        <v>0</v>
      </c>
      <c r="U233" s="254">
        <v>0</v>
      </c>
      <c r="V233" s="254">
        <v>12500000</v>
      </c>
      <c r="W233" s="254">
        <v>0</v>
      </c>
      <c r="X233" s="254">
        <v>0</v>
      </c>
      <c r="Y233" s="254">
        <v>0</v>
      </c>
      <c r="Z233" s="254">
        <v>0</v>
      </c>
      <c r="AA233" s="231"/>
    </row>
    <row r="234" spans="1:27" s="229" customFormat="1" ht="33.75">
      <c r="A234" s="251" t="s">
        <v>53</v>
      </c>
      <c r="B234" s="252" t="s">
        <v>417</v>
      </c>
      <c r="C234" s="253" t="s">
        <v>436</v>
      </c>
      <c r="D234" s="251" t="s">
        <v>430</v>
      </c>
      <c r="E234" s="251" t="s">
        <v>117</v>
      </c>
      <c r="F234" s="251" t="s">
        <v>318</v>
      </c>
      <c r="G234" s="251" t="s">
        <v>307</v>
      </c>
      <c r="H234" s="251"/>
      <c r="I234" s="251"/>
      <c r="J234" s="251"/>
      <c r="K234" s="251"/>
      <c r="L234" s="251" t="s">
        <v>116</v>
      </c>
      <c r="M234" s="251" t="s">
        <v>125</v>
      </c>
      <c r="N234" s="251" t="s">
        <v>118</v>
      </c>
      <c r="O234" s="252" t="s">
        <v>437</v>
      </c>
      <c r="P234" s="254">
        <v>263760071</v>
      </c>
      <c r="Q234" s="254">
        <v>0</v>
      </c>
      <c r="R234" s="254">
        <v>0</v>
      </c>
      <c r="S234" s="254">
        <v>263760071</v>
      </c>
      <c r="T234" s="254">
        <v>0</v>
      </c>
      <c r="U234" s="254">
        <v>0</v>
      </c>
      <c r="V234" s="254">
        <v>263760071</v>
      </c>
      <c r="W234" s="254">
        <v>0</v>
      </c>
      <c r="X234" s="254">
        <v>0</v>
      </c>
      <c r="Y234" s="254">
        <v>0</v>
      </c>
      <c r="Z234" s="254">
        <v>0</v>
      </c>
      <c r="AA234" s="231"/>
    </row>
    <row r="235" spans="1:27" s="229" customFormat="1" ht="33.75">
      <c r="A235" s="251" t="s">
        <v>82</v>
      </c>
      <c r="B235" s="252" t="s">
        <v>418</v>
      </c>
      <c r="C235" s="253" t="s">
        <v>306</v>
      </c>
      <c r="D235" s="251" t="s">
        <v>11</v>
      </c>
      <c r="E235" s="251" t="s">
        <v>307</v>
      </c>
      <c r="F235" s="251" t="s">
        <v>307</v>
      </c>
      <c r="G235" s="251" t="s">
        <v>307</v>
      </c>
      <c r="H235" s="251"/>
      <c r="I235" s="251"/>
      <c r="J235" s="251"/>
      <c r="K235" s="251"/>
      <c r="L235" s="251" t="s">
        <v>116</v>
      </c>
      <c r="M235" s="251" t="s">
        <v>117</v>
      </c>
      <c r="N235" s="251" t="s">
        <v>118</v>
      </c>
      <c r="O235" s="252" t="s">
        <v>308</v>
      </c>
      <c r="P235" s="254">
        <v>1964000000</v>
      </c>
      <c r="Q235" s="254">
        <v>0</v>
      </c>
      <c r="R235" s="254">
        <v>0</v>
      </c>
      <c r="S235" s="254">
        <v>1964000000</v>
      </c>
      <c r="T235" s="254">
        <v>0</v>
      </c>
      <c r="U235" s="254">
        <v>185916546</v>
      </c>
      <c r="V235" s="254">
        <v>1778083454</v>
      </c>
      <c r="W235" s="254">
        <v>185916546</v>
      </c>
      <c r="X235" s="254">
        <v>185916546</v>
      </c>
      <c r="Y235" s="254">
        <v>185916546</v>
      </c>
      <c r="Z235" s="254">
        <v>185916546</v>
      </c>
      <c r="AA235" s="231"/>
    </row>
    <row r="236" spans="1:27" s="229" customFormat="1" ht="33.75">
      <c r="A236" s="251" t="s">
        <v>82</v>
      </c>
      <c r="B236" s="252" t="s">
        <v>418</v>
      </c>
      <c r="C236" s="253" t="s">
        <v>309</v>
      </c>
      <c r="D236" s="251" t="s">
        <v>11</v>
      </c>
      <c r="E236" s="251" t="s">
        <v>307</v>
      </c>
      <c r="F236" s="251" t="s">
        <v>307</v>
      </c>
      <c r="G236" s="251" t="s">
        <v>310</v>
      </c>
      <c r="H236" s="251"/>
      <c r="I236" s="251"/>
      <c r="J236" s="251"/>
      <c r="K236" s="251"/>
      <c r="L236" s="251" t="s">
        <v>116</v>
      </c>
      <c r="M236" s="251" t="s">
        <v>117</v>
      </c>
      <c r="N236" s="251" t="s">
        <v>118</v>
      </c>
      <c r="O236" s="252" t="s">
        <v>311</v>
      </c>
      <c r="P236" s="254">
        <v>839000000</v>
      </c>
      <c r="Q236" s="254">
        <v>0</v>
      </c>
      <c r="R236" s="254">
        <v>0</v>
      </c>
      <c r="S236" s="254">
        <v>839000000</v>
      </c>
      <c r="T236" s="254">
        <v>0</v>
      </c>
      <c r="U236" s="254">
        <v>33839885</v>
      </c>
      <c r="V236" s="254">
        <v>805160115</v>
      </c>
      <c r="W236" s="254">
        <v>33839885</v>
      </c>
      <c r="X236" s="254">
        <v>33839885</v>
      </c>
      <c r="Y236" s="254">
        <v>33839885</v>
      </c>
      <c r="Z236" s="254">
        <v>33839885</v>
      </c>
      <c r="AA236" s="231"/>
    </row>
    <row r="237" spans="1:27" s="229" customFormat="1" ht="33.75">
      <c r="A237" s="251" t="s">
        <v>82</v>
      </c>
      <c r="B237" s="252" t="s">
        <v>418</v>
      </c>
      <c r="C237" s="253" t="s">
        <v>294</v>
      </c>
      <c r="D237" s="251" t="s">
        <v>11</v>
      </c>
      <c r="E237" s="251" t="s">
        <v>332</v>
      </c>
      <c r="F237" s="251" t="s">
        <v>318</v>
      </c>
      <c r="G237" s="251" t="s">
        <v>307</v>
      </c>
      <c r="H237" s="251"/>
      <c r="I237" s="251"/>
      <c r="J237" s="251"/>
      <c r="K237" s="251"/>
      <c r="L237" s="251" t="s">
        <v>116</v>
      </c>
      <c r="M237" s="251" t="s">
        <v>125</v>
      </c>
      <c r="N237" s="251" t="s">
        <v>126</v>
      </c>
      <c r="O237" s="252" t="s">
        <v>334</v>
      </c>
      <c r="P237" s="254">
        <v>19000000</v>
      </c>
      <c r="Q237" s="254">
        <v>0</v>
      </c>
      <c r="R237" s="254">
        <v>0</v>
      </c>
      <c r="S237" s="254">
        <v>19000000</v>
      </c>
      <c r="T237" s="254">
        <v>0</v>
      </c>
      <c r="U237" s="254">
        <v>0</v>
      </c>
      <c r="V237" s="254">
        <v>19000000</v>
      </c>
      <c r="W237" s="254">
        <v>0</v>
      </c>
      <c r="X237" s="254">
        <v>0</v>
      </c>
      <c r="Y237" s="254">
        <v>0</v>
      </c>
      <c r="Z237" s="254">
        <v>0</v>
      </c>
      <c r="AA237" s="231"/>
    </row>
    <row r="238" spans="1:27" s="229" customFormat="1" ht="33.75">
      <c r="A238" s="251" t="s">
        <v>82</v>
      </c>
      <c r="B238" s="252" t="s">
        <v>418</v>
      </c>
      <c r="C238" s="253" t="s">
        <v>436</v>
      </c>
      <c r="D238" s="251" t="s">
        <v>430</v>
      </c>
      <c r="E238" s="251" t="s">
        <v>117</v>
      </c>
      <c r="F238" s="251" t="s">
        <v>318</v>
      </c>
      <c r="G238" s="251" t="s">
        <v>307</v>
      </c>
      <c r="H238" s="251"/>
      <c r="I238" s="251"/>
      <c r="J238" s="251"/>
      <c r="K238" s="251"/>
      <c r="L238" s="251" t="s">
        <v>116</v>
      </c>
      <c r="M238" s="251" t="s">
        <v>125</v>
      </c>
      <c r="N238" s="251" t="s">
        <v>118</v>
      </c>
      <c r="O238" s="252" t="s">
        <v>437</v>
      </c>
      <c r="P238" s="254">
        <v>6542584567</v>
      </c>
      <c r="Q238" s="254">
        <v>0</v>
      </c>
      <c r="R238" s="254">
        <v>0</v>
      </c>
      <c r="S238" s="254">
        <v>6542584567</v>
      </c>
      <c r="T238" s="254">
        <v>0</v>
      </c>
      <c r="U238" s="254">
        <v>0</v>
      </c>
      <c r="V238" s="254">
        <v>6542584567</v>
      </c>
      <c r="W238" s="254">
        <v>0</v>
      </c>
      <c r="X238" s="254">
        <v>0</v>
      </c>
      <c r="Y238" s="254">
        <v>0</v>
      </c>
      <c r="Z238" s="254">
        <v>0</v>
      </c>
      <c r="AA238" s="231"/>
    </row>
    <row r="239" spans="1:27" s="229" customFormat="1" ht="33.75">
      <c r="A239" s="251" t="s">
        <v>73</v>
      </c>
      <c r="B239" s="252" t="s">
        <v>419</v>
      </c>
      <c r="C239" s="253" t="s">
        <v>306</v>
      </c>
      <c r="D239" s="251" t="s">
        <v>11</v>
      </c>
      <c r="E239" s="251" t="s">
        <v>307</v>
      </c>
      <c r="F239" s="251" t="s">
        <v>307</v>
      </c>
      <c r="G239" s="251" t="s">
        <v>307</v>
      </c>
      <c r="H239" s="251"/>
      <c r="I239" s="251"/>
      <c r="J239" s="251"/>
      <c r="K239" s="251"/>
      <c r="L239" s="251" t="s">
        <v>116</v>
      </c>
      <c r="M239" s="251" t="s">
        <v>117</v>
      </c>
      <c r="N239" s="251" t="s">
        <v>118</v>
      </c>
      <c r="O239" s="252" t="s">
        <v>308</v>
      </c>
      <c r="P239" s="254">
        <v>1523600000</v>
      </c>
      <c r="Q239" s="254">
        <v>0</v>
      </c>
      <c r="R239" s="254">
        <v>0</v>
      </c>
      <c r="S239" s="254">
        <v>1523600000</v>
      </c>
      <c r="T239" s="254">
        <v>0</v>
      </c>
      <c r="U239" s="254">
        <v>300000000</v>
      </c>
      <c r="V239" s="254">
        <v>1223600000</v>
      </c>
      <c r="W239" s="254">
        <v>300000000</v>
      </c>
      <c r="X239" s="254">
        <v>300000000</v>
      </c>
      <c r="Y239" s="254">
        <v>300000000</v>
      </c>
      <c r="Z239" s="254">
        <v>300000000</v>
      </c>
      <c r="AA239" s="231"/>
    </row>
    <row r="240" spans="1:27" s="229" customFormat="1" ht="33.75">
      <c r="A240" s="251" t="s">
        <v>73</v>
      </c>
      <c r="B240" s="252" t="s">
        <v>419</v>
      </c>
      <c r="C240" s="253" t="s">
        <v>309</v>
      </c>
      <c r="D240" s="251" t="s">
        <v>11</v>
      </c>
      <c r="E240" s="251" t="s">
        <v>307</v>
      </c>
      <c r="F240" s="251" t="s">
        <v>307</v>
      </c>
      <c r="G240" s="251" t="s">
        <v>310</v>
      </c>
      <c r="H240" s="251"/>
      <c r="I240" s="251"/>
      <c r="J240" s="251"/>
      <c r="K240" s="251"/>
      <c r="L240" s="251" t="s">
        <v>116</v>
      </c>
      <c r="M240" s="251" t="s">
        <v>117</v>
      </c>
      <c r="N240" s="251" t="s">
        <v>118</v>
      </c>
      <c r="O240" s="252" t="s">
        <v>311</v>
      </c>
      <c r="P240" s="254">
        <v>462400000</v>
      </c>
      <c r="Q240" s="254">
        <v>0</v>
      </c>
      <c r="R240" s="254">
        <v>0</v>
      </c>
      <c r="S240" s="254">
        <v>462400000</v>
      </c>
      <c r="T240" s="254">
        <v>0</v>
      </c>
      <c r="U240" s="254">
        <v>150000000</v>
      </c>
      <c r="V240" s="254">
        <v>312400000</v>
      </c>
      <c r="W240" s="254">
        <v>150000000</v>
      </c>
      <c r="X240" s="254">
        <v>150000000</v>
      </c>
      <c r="Y240" s="254">
        <v>150000000</v>
      </c>
      <c r="Z240" s="254">
        <v>150000000</v>
      </c>
      <c r="AA240" s="231"/>
    </row>
    <row r="241" spans="1:27" s="229" customFormat="1" ht="33.75">
      <c r="A241" s="251" t="s">
        <v>73</v>
      </c>
      <c r="B241" s="252" t="s">
        <v>419</v>
      </c>
      <c r="C241" s="253" t="s">
        <v>312</v>
      </c>
      <c r="D241" s="251" t="s">
        <v>11</v>
      </c>
      <c r="E241" s="251" t="s">
        <v>307</v>
      </c>
      <c r="F241" s="251" t="s">
        <v>307</v>
      </c>
      <c r="G241" s="251" t="s">
        <v>313</v>
      </c>
      <c r="H241" s="251"/>
      <c r="I241" s="251"/>
      <c r="J241" s="251"/>
      <c r="K241" s="251"/>
      <c r="L241" s="251" t="s">
        <v>116</v>
      </c>
      <c r="M241" s="251" t="s">
        <v>117</v>
      </c>
      <c r="N241" s="251" t="s">
        <v>118</v>
      </c>
      <c r="O241" s="252" t="s">
        <v>314</v>
      </c>
      <c r="P241" s="254">
        <v>213800000</v>
      </c>
      <c r="Q241" s="254">
        <v>0</v>
      </c>
      <c r="R241" s="254">
        <v>0</v>
      </c>
      <c r="S241" s="254">
        <v>213800000</v>
      </c>
      <c r="T241" s="254">
        <v>0</v>
      </c>
      <c r="U241" s="254">
        <v>50000000</v>
      </c>
      <c r="V241" s="254">
        <v>163800000</v>
      </c>
      <c r="W241" s="254">
        <v>50000000</v>
      </c>
      <c r="X241" s="254">
        <v>50000000</v>
      </c>
      <c r="Y241" s="254">
        <v>50000000</v>
      </c>
      <c r="Z241" s="254">
        <v>50000000</v>
      </c>
      <c r="AA241" s="231"/>
    </row>
    <row r="242" spans="1:27" s="229" customFormat="1" ht="33.75">
      <c r="A242" s="251" t="s">
        <v>73</v>
      </c>
      <c r="B242" s="252" t="s">
        <v>419</v>
      </c>
      <c r="C242" s="253" t="s">
        <v>294</v>
      </c>
      <c r="D242" s="251" t="s">
        <v>11</v>
      </c>
      <c r="E242" s="251" t="s">
        <v>332</v>
      </c>
      <c r="F242" s="251" t="s">
        <v>318</v>
      </c>
      <c r="G242" s="251" t="s">
        <v>307</v>
      </c>
      <c r="H242" s="251"/>
      <c r="I242" s="251"/>
      <c r="J242" s="251"/>
      <c r="K242" s="251"/>
      <c r="L242" s="251" t="s">
        <v>116</v>
      </c>
      <c r="M242" s="251" t="s">
        <v>125</v>
      </c>
      <c r="N242" s="251" t="s">
        <v>126</v>
      </c>
      <c r="O242" s="252" t="s">
        <v>334</v>
      </c>
      <c r="P242" s="254">
        <v>10771200</v>
      </c>
      <c r="Q242" s="254">
        <v>0</v>
      </c>
      <c r="R242" s="254">
        <v>0</v>
      </c>
      <c r="S242" s="254">
        <v>10771200</v>
      </c>
      <c r="T242" s="254">
        <v>0</v>
      </c>
      <c r="U242" s="254">
        <v>0</v>
      </c>
      <c r="V242" s="254">
        <v>10771200</v>
      </c>
      <c r="W242" s="254">
        <v>0</v>
      </c>
      <c r="X242" s="254">
        <v>0</v>
      </c>
      <c r="Y242" s="254">
        <v>0</v>
      </c>
      <c r="Z242" s="254">
        <v>0</v>
      </c>
      <c r="AA242" s="231"/>
    </row>
    <row r="243" spans="1:27" s="229" customFormat="1" ht="22.5">
      <c r="A243" s="251" t="s">
        <v>54</v>
      </c>
      <c r="B243" s="252" t="s">
        <v>420</v>
      </c>
      <c r="C243" s="253" t="s">
        <v>306</v>
      </c>
      <c r="D243" s="251" t="s">
        <v>11</v>
      </c>
      <c r="E243" s="251" t="s">
        <v>307</v>
      </c>
      <c r="F243" s="251" t="s">
        <v>307</v>
      </c>
      <c r="G243" s="251" t="s">
        <v>307</v>
      </c>
      <c r="H243" s="251"/>
      <c r="I243" s="251"/>
      <c r="J243" s="251"/>
      <c r="K243" s="251"/>
      <c r="L243" s="251" t="s">
        <v>116</v>
      </c>
      <c r="M243" s="251" t="s">
        <v>117</v>
      </c>
      <c r="N243" s="251" t="s">
        <v>118</v>
      </c>
      <c r="O243" s="252" t="s">
        <v>308</v>
      </c>
      <c r="P243" s="254">
        <v>1722200000</v>
      </c>
      <c r="Q243" s="254">
        <v>0</v>
      </c>
      <c r="R243" s="254">
        <v>0</v>
      </c>
      <c r="S243" s="254">
        <v>1722200000</v>
      </c>
      <c r="T243" s="254">
        <v>0</v>
      </c>
      <c r="U243" s="254">
        <v>170000000</v>
      </c>
      <c r="V243" s="254">
        <v>1552200000</v>
      </c>
      <c r="W243" s="254">
        <v>170000000</v>
      </c>
      <c r="X243" s="254">
        <v>170000000</v>
      </c>
      <c r="Y243" s="254">
        <v>170000000</v>
      </c>
      <c r="Z243" s="254">
        <v>170000000</v>
      </c>
      <c r="AA243" s="231"/>
    </row>
    <row r="244" spans="1:27" s="229" customFormat="1" ht="22.5">
      <c r="A244" s="251" t="s">
        <v>54</v>
      </c>
      <c r="B244" s="252" t="s">
        <v>420</v>
      </c>
      <c r="C244" s="253" t="s">
        <v>309</v>
      </c>
      <c r="D244" s="251" t="s">
        <v>11</v>
      </c>
      <c r="E244" s="251" t="s">
        <v>307</v>
      </c>
      <c r="F244" s="251" t="s">
        <v>307</v>
      </c>
      <c r="G244" s="251" t="s">
        <v>310</v>
      </c>
      <c r="H244" s="251"/>
      <c r="I244" s="251"/>
      <c r="J244" s="251"/>
      <c r="K244" s="251"/>
      <c r="L244" s="251" t="s">
        <v>116</v>
      </c>
      <c r="M244" s="251" t="s">
        <v>117</v>
      </c>
      <c r="N244" s="251" t="s">
        <v>118</v>
      </c>
      <c r="O244" s="252" t="s">
        <v>311</v>
      </c>
      <c r="P244" s="254">
        <v>442700000</v>
      </c>
      <c r="Q244" s="254">
        <v>0</v>
      </c>
      <c r="R244" s="254">
        <v>0</v>
      </c>
      <c r="S244" s="254">
        <v>442700000</v>
      </c>
      <c r="T244" s="254">
        <v>0</v>
      </c>
      <c r="U244" s="254">
        <v>0</v>
      </c>
      <c r="V244" s="254">
        <v>442700000</v>
      </c>
      <c r="W244" s="254">
        <v>0</v>
      </c>
      <c r="X244" s="254">
        <v>0</v>
      </c>
      <c r="Y244" s="254">
        <v>0</v>
      </c>
      <c r="Z244" s="254">
        <v>0</v>
      </c>
      <c r="AA244" s="231"/>
    </row>
    <row r="245" spans="1:27" s="229" customFormat="1" ht="33.75">
      <c r="A245" s="251" t="s">
        <v>54</v>
      </c>
      <c r="B245" s="252" t="s">
        <v>420</v>
      </c>
      <c r="C245" s="253" t="s">
        <v>312</v>
      </c>
      <c r="D245" s="251" t="s">
        <v>11</v>
      </c>
      <c r="E245" s="251" t="s">
        <v>307</v>
      </c>
      <c r="F245" s="251" t="s">
        <v>307</v>
      </c>
      <c r="G245" s="251" t="s">
        <v>313</v>
      </c>
      <c r="H245" s="251"/>
      <c r="I245" s="251"/>
      <c r="J245" s="251"/>
      <c r="K245" s="251"/>
      <c r="L245" s="251" t="s">
        <v>116</v>
      </c>
      <c r="M245" s="251" t="s">
        <v>117</v>
      </c>
      <c r="N245" s="251" t="s">
        <v>118</v>
      </c>
      <c r="O245" s="252" t="s">
        <v>314</v>
      </c>
      <c r="P245" s="254">
        <v>228900000</v>
      </c>
      <c r="Q245" s="254">
        <v>0</v>
      </c>
      <c r="R245" s="254">
        <v>0</v>
      </c>
      <c r="S245" s="254">
        <v>228900000</v>
      </c>
      <c r="T245" s="254">
        <v>0</v>
      </c>
      <c r="U245" s="254">
        <v>0</v>
      </c>
      <c r="V245" s="254">
        <v>228900000</v>
      </c>
      <c r="W245" s="254">
        <v>0</v>
      </c>
      <c r="X245" s="254">
        <v>0</v>
      </c>
      <c r="Y245" s="254">
        <v>0</v>
      </c>
      <c r="Z245" s="254">
        <v>0</v>
      </c>
      <c r="AA245" s="231"/>
    </row>
    <row r="246" spans="1:27" s="229" customFormat="1" ht="22.5">
      <c r="A246" s="251" t="s">
        <v>54</v>
      </c>
      <c r="B246" s="252" t="s">
        <v>420</v>
      </c>
      <c r="C246" s="253" t="s">
        <v>432</v>
      </c>
      <c r="D246" s="251" t="s">
        <v>11</v>
      </c>
      <c r="E246" s="251" t="s">
        <v>310</v>
      </c>
      <c r="F246" s="251"/>
      <c r="G246" s="251"/>
      <c r="H246" s="251"/>
      <c r="I246" s="251"/>
      <c r="J246" s="251"/>
      <c r="K246" s="251"/>
      <c r="L246" s="251" t="s">
        <v>116</v>
      </c>
      <c r="M246" s="251" t="s">
        <v>117</v>
      </c>
      <c r="N246" s="251" t="s">
        <v>118</v>
      </c>
      <c r="O246" s="252" t="s">
        <v>433</v>
      </c>
      <c r="P246" s="254">
        <v>89100000</v>
      </c>
      <c r="Q246" s="254">
        <v>0</v>
      </c>
      <c r="R246" s="254">
        <v>0</v>
      </c>
      <c r="S246" s="254">
        <v>89100000</v>
      </c>
      <c r="T246" s="254">
        <v>0</v>
      </c>
      <c r="U246" s="254">
        <v>0</v>
      </c>
      <c r="V246" s="254">
        <v>89100000</v>
      </c>
      <c r="W246" s="254">
        <v>0</v>
      </c>
      <c r="X246" s="254">
        <v>0</v>
      </c>
      <c r="Y246" s="254">
        <v>0</v>
      </c>
      <c r="Z246" s="254">
        <v>0</v>
      </c>
      <c r="AA246" s="231"/>
    </row>
    <row r="247" spans="1:27" s="229" customFormat="1" ht="22.5">
      <c r="A247" s="251" t="s">
        <v>54</v>
      </c>
      <c r="B247" s="252" t="s">
        <v>420</v>
      </c>
      <c r="C247" s="253" t="s">
        <v>298</v>
      </c>
      <c r="D247" s="251" t="s">
        <v>11</v>
      </c>
      <c r="E247" s="251" t="s">
        <v>332</v>
      </c>
      <c r="F247" s="251" t="s">
        <v>307</v>
      </c>
      <c r="G247" s="251"/>
      <c r="H247" s="251"/>
      <c r="I247" s="251"/>
      <c r="J247" s="251"/>
      <c r="K247" s="251"/>
      <c r="L247" s="251" t="s">
        <v>116</v>
      </c>
      <c r="M247" s="251" t="s">
        <v>117</v>
      </c>
      <c r="N247" s="251" t="s">
        <v>118</v>
      </c>
      <c r="O247" s="252" t="s">
        <v>333</v>
      </c>
      <c r="P247" s="254">
        <v>5000000</v>
      </c>
      <c r="Q247" s="254">
        <v>0</v>
      </c>
      <c r="R247" s="254">
        <v>0</v>
      </c>
      <c r="S247" s="254">
        <v>5000000</v>
      </c>
      <c r="T247" s="254">
        <v>0</v>
      </c>
      <c r="U247" s="254">
        <v>0</v>
      </c>
      <c r="V247" s="254">
        <v>5000000</v>
      </c>
      <c r="W247" s="254">
        <v>0</v>
      </c>
      <c r="X247" s="254">
        <v>0</v>
      </c>
      <c r="Y247" s="254">
        <v>0</v>
      </c>
      <c r="Z247" s="254">
        <v>0</v>
      </c>
      <c r="AA247" s="231"/>
    </row>
    <row r="248" spans="1:27" s="229" customFormat="1" ht="22.5">
      <c r="A248" s="251" t="s">
        <v>54</v>
      </c>
      <c r="B248" s="252" t="s">
        <v>420</v>
      </c>
      <c r="C248" s="253" t="s">
        <v>294</v>
      </c>
      <c r="D248" s="251" t="s">
        <v>11</v>
      </c>
      <c r="E248" s="251" t="s">
        <v>332</v>
      </c>
      <c r="F248" s="251" t="s">
        <v>318</v>
      </c>
      <c r="G248" s="251" t="s">
        <v>307</v>
      </c>
      <c r="H248" s="251"/>
      <c r="I248" s="251"/>
      <c r="J248" s="251"/>
      <c r="K248" s="251"/>
      <c r="L248" s="251" t="s">
        <v>116</v>
      </c>
      <c r="M248" s="251" t="s">
        <v>125</v>
      </c>
      <c r="N248" s="251" t="s">
        <v>126</v>
      </c>
      <c r="O248" s="252" t="s">
        <v>334</v>
      </c>
      <c r="P248" s="254">
        <v>15000000</v>
      </c>
      <c r="Q248" s="254">
        <v>0</v>
      </c>
      <c r="R248" s="254">
        <v>0</v>
      </c>
      <c r="S248" s="254">
        <v>15000000</v>
      </c>
      <c r="T248" s="254">
        <v>0</v>
      </c>
      <c r="U248" s="254">
        <v>0</v>
      </c>
      <c r="V248" s="254">
        <v>15000000</v>
      </c>
      <c r="W248" s="254">
        <v>0</v>
      </c>
      <c r="X248" s="254">
        <v>0</v>
      </c>
      <c r="Y248" s="254">
        <v>0</v>
      </c>
      <c r="Z248" s="254">
        <v>0</v>
      </c>
      <c r="AA248" s="231"/>
    </row>
    <row r="249" spans="1:27" s="229" customFormat="1" ht="22.5">
      <c r="A249" s="251" t="s">
        <v>54</v>
      </c>
      <c r="B249" s="252" t="s">
        <v>420</v>
      </c>
      <c r="C249" s="253" t="s">
        <v>436</v>
      </c>
      <c r="D249" s="251" t="s">
        <v>430</v>
      </c>
      <c r="E249" s="251" t="s">
        <v>117</v>
      </c>
      <c r="F249" s="251" t="s">
        <v>318</v>
      </c>
      <c r="G249" s="251" t="s">
        <v>307</v>
      </c>
      <c r="H249" s="251"/>
      <c r="I249" s="251"/>
      <c r="J249" s="251"/>
      <c r="K249" s="251"/>
      <c r="L249" s="251" t="s">
        <v>116</v>
      </c>
      <c r="M249" s="251" t="s">
        <v>125</v>
      </c>
      <c r="N249" s="251" t="s">
        <v>118</v>
      </c>
      <c r="O249" s="252" t="s">
        <v>437</v>
      </c>
      <c r="P249" s="254">
        <v>1335666786</v>
      </c>
      <c r="Q249" s="254">
        <v>0</v>
      </c>
      <c r="R249" s="254">
        <v>0</v>
      </c>
      <c r="S249" s="254">
        <v>1335666786</v>
      </c>
      <c r="T249" s="254">
        <v>0</v>
      </c>
      <c r="U249" s="254">
        <v>0</v>
      </c>
      <c r="V249" s="254">
        <v>1335666786</v>
      </c>
      <c r="W249" s="254">
        <v>0</v>
      </c>
      <c r="X249" s="254">
        <v>0</v>
      </c>
      <c r="Y249" s="254">
        <v>0</v>
      </c>
      <c r="Z249" s="254">
        <v>0</v>
      </c>
      <c r="AA249" s="231"/>
    </row>
    <row r="250" spans="1:27" s="229" customFormat="1" ht="33.75">
      <c r="A250" s="251" t="s">
        <v>62</v>
      </c>
      <c r="B250" s="252" t="s">
        <v>421</v>
      </c>
      <c r="C250" s="253" t="s">
        <v>306</v>
      </c>
      <c r="D250" s="251" t="s">
        <v>11</v>
      </c>
      <c r="E250" s="251" t="s">
        <v>307</v>
      </c>
      <c r="F250" s="251" t="s">
        <v>307</v>
      </c>
      <c r="G250" s="251" t="s">
        <v>307</v>
      </c>
      <c r="H250" s="251"/>
      <c r="I250" s="251"/>
      <c r="J250" s="251"/>
      <c r="K250" s="251"/>
      <c r="L250" s="251" t="s">
        <v>116</v>
      </c>
      <c r="M250" s="251" t="s">
        <v>117</v>
      </c>
      <c r="N250" s="251" t="s">
        <v>118</v>
      </c>
      <c r="O250" s="252" t="s">
        <v>308</v>
      </c>
      <c r="P250" s="254">
        <v>1640000000</v>
      </c>
      <c r="Q250" s="254">
        <v>0</v>
      </c>
      <c r="R250" s="254">
        <v>0</v>
      </c>
      <c r="S250" s="254">
        <v>1640000000</v>
      </c>
      <c r="T250" s="254">
        <v>0</v>
      </c>
      <c r="U250" s="254">
        <v>133244146</v>
      </c>
      <c r="V250" s="254">
        <v>1506755854</v>
      </c>
      <c r="W250" s="254">
        <v>133244146</v>
      </c>
      <c r="X250" s="254">
        <v>133244146</v>
      </c>
      <c r="Y250" s="254">
        <v>133244146</v>
      </c>
      <c r="Z250" s="254">
        <v>133244146</v>
      </c>
      <c r="AA250" s="231"/>
    </row>
    <row r="251" spans="1:27" s="229" customFormat="1" ht="33.75">
      <c r="A251" s="251" t="s">
        <v>62</v>
      </c>
      <c r="B251" s="252" t="s">
        <v>421</v>
      </c>
      <c r="C251" s="253" t="s">
        <v>309</v>
      </c>
      <c r="D251" s="251" t="s">
        <v>11</v>
      </c>
      <c r="E251" s="251" t="s">
        <v>307</v>
      </c>
      <c r="F251" s="251" t="s">
        <v>307</v>
      </c>
      <c r="G251" s="251" t="s">
        <v>310</v>
      </c>
      <c r="H251" s="251"/>
      <c r="I251" s="251"/>
      <c r="J251" s="251"/>
      <c r="K251" s="251"/>
      <c r="L251" s="251" t="s">
        <v>116</v>
      </c>
      <c r="M251" s="251" t="s">
        <v>117</v>
      </c>
      <c r="N251" s="251" t="s">
        <v>118</v>
      </c>
      <c r="O251" s="252" t="s">
        <v>311</v>
      </c>
      <c r="P251" s="254">
        <v>513000000</v>
      </c>
      <c r="Q251" s="254">
        <v>0</v>
      </c>
      <c r="R251" s="254">
        <v>0</v>
      </c>
      <c r="S251" s="254">
        <v>513000000</v>
      </c>
      <c r="T251" s="254">
        <v>0</v>
      </c>
      <c r="U251" s="254">
        <v>40503462</v>
      </c>
      <c r="V251" s="254">
        <v>472496538</v>
      </c>
      <c r="W251" s="254">
        <v>40503462</v>
      </c>
      <c r="X251" s="254">
        <v>40503462</v>
      </c>
      <c r="Y251" s="254">
        <v>40503462</v>
      </c>
      <c r="Z251" s="254">
        <v>40503462</v>
      </c>
      <c r="AA251" s="231"/>
    </row>
    <row r="252" spans="1:27" s="229" customFormat="1" ht="33.75">
      <c r="A252" s="251" t="s">
        <v>62</v>
      </c>
      <c r="B252" s="252" t="s">
        <v>421</v>
      </c>
      <c r="C252" s="253" t="s">
        <v>312</v>
      </c>
      <c r="D252" s="251" t="s">
        <v>11</v>
      </c>
      <c r="E252" s="251" t="s">
        <v>307</v>
      </c>
      <c r="F252" s="251" t="s">
        <v>307</v>
      </c>
      <c r="G252" s="251" t="s">
        <v>313</v>
      </c>
      <c r="H252" s="251"/>
      <c r="I252" s="251"/>
      <c r="J252" s="251"/>
      <c r="K252" s="251"/>
      <c r="L252" s="251" t="s">
        <v>116</v>
      </c>
      <c r="M252" s="251" t="s">
        <v>117</v>
      </c>
      <c r="N252" s="251" t="s">
        <v>118</v>
      </c>
      <c r="O252" s="252" t="s">
        <v>314</v>
      </c>
      <c r="P252" s="254">
        <v>231000000</v>
      </c>
      <c r="Q252" s="254">
        <v>0</v>
      </c>
      <c r="R252" s="254">
        <v>0</v>
      </c>
      <c r="S252" s="254">
        <v>231000000</v>
      </c>
      <c r="T252" s="254">
        <v>0</v>
      </c>
      <c r="U252" s="254">
        <v>30896795</v>
      </c>
      <c r="V252" s="254">
        <v>200103205</v>
      </c>
      <c r="W252" s="254">
        <v>30896795</v>
      </c>
      <c r="X252" s="254">
        <v>30896795</v>
      </c>
      <c r="Y252" s="254">
        <v>30896795</v>
      </c>
      <c r="Z252" s="254">
        <v>30896795</v>
      </c>
      <c r="AA252" s="231"/>
    </row>
    <row r="253" spans="1:27" s="229" customFormat="1" ht="33.75">
      <c r="A253" s="251" t="s">
        <v>62</v>
      </c>
      <c r="B253" s="252" t="s">
        <v>421</v>
      </c>
      <c r="C253" s="253" t="s">
        <v>432</v>
      </c>
      <c r="D253" s="251" t="s">
        <v>11</v>
      </c>
      <c r="E253" s="251" t="s">
        <v>310</v>
      </c>
      <c r="F253" s="251"/>
      <c r="G253" s="251"/>
      <c r="H253" s="251"/>
      <c r="I253" s="251"/>
      <c r="J253" s="251"/>
      <c r="K253" s="251"/>
      <c r="L253" s="251" t="s">
        <v>116</v>
      </c>
      <c r="M253" s="251" t="s">
        <v>117</v>
      </c>
      <c r="N253" s="251" t="s">
        <v>118</v>
      </c>
      <c r="O253" s="252" t="s">
        <v>433</v>
      </c>
      <c r="P253" s="254">
        <v>69000000</v>
      </c>
      <c r="Q253" s="254">
        <v>0</v>
      </c>
      <c r="R253" s="254">
        <v>0</v>
      </c>
      <c r="S253" s="254">
        <v>69000000</v>
      </c>
      <c r="T253" s="254">
        <v>0</v>
      </c>
      <c r="U253" s="254">
        <v>16186276.23</v>
      </c>
      <c r="V253" s="254">
        <v>52813723.770000003</v>
      </c>
      <c r="W253" s="254">
        <v>16186276.23</v>
      </c>
      <c r="X253" s="254">
        <v>11371916.01</v>
      </c>
      <c r="Y253" s="254">
        <v>11371916.01</v>
      </c>
      <c r="Z253" s="254">
        <v>11371916.01</v>
      </c>
      <c r="AA253" s="231"/>
    </row>
    <row r="254" spans="1:27" s="229" customFormat="1" ht="33.75">
      <c r="A254" s="251" t="s">
        <v>62</v>
      </c>
      <c r="B254" s="252" t="s">
        <v>421</v>
      </c>
      <c r="C254" s="253" t="s">
        <v>298</v>
      </c>
      <c r="D254" s="251" t="s">
        <v>11</v>
      </c>
      <c r="E254" s="251" t="s">
        <v>332</v>
      </c>
      <c r="F254" s="251" t="s">
        <v>307</v>
      </c>
      <c r="G254" s="251"/>
      <c r="H254" s="251"/>
      <c r="I254" s="251"/>
      <c r="J254" s="251"/>
      <c r="K254" s="251"/>
      <c r="L254" s="251" t="s">
        <v>116</v>
      </c>
      <c r="M254" s="251" t="s">
        <v>117</v>
      </c>
      <c r="N254" s="251" t="s">
        <v>118</v>
      </c>
      <c r="O254" s="252" t="s">
        <v>333</v>
      </c>
      <c r="P254" s="254">
        <v>9000000</v>
      </c>
      <c r="Q254" s="254">
        <v>0</v>
      </c>
      <c r="R254" s="254">
        <v>0</v>
      </c>
      <c r="S254" s="254">
        <v>9000000</v>
      </c>
      <c r="T254" s="254">
        <v>0</v>
      </c>
      <c r="U254" s="254">
        <v>1247905</v>
      </c>
      <c r="V254" s="254">
        <v>7752095</v>
      </c>
      <c r="W254" s="254">
        <v>1247905</v>
      </c>
      <c r="X254" s="254">
        <v>0</v>
      </c>
      <c r="Y254" s="254">
        <v>0</v>
      </c>
      <c r="Z254" s="254">
        <v>0</v>
      </c>
      <c r="AA254" s="231"/>
    </row>
    <row r="255" spans="1:27" s="229" customFormat="1" ht="33.75">
      <c r="A255" s="251" t="s">
        <v>62</v>
      </c>
      <c r="B255" s="252" t="s">
        <v>421</v>
      </c>
      <c r="C255" s="253" t="s">
        <v>294</v>
      </c>
      <c r="D255" s="251" t="s">
        <v>11</v>
      </c>
      <c r="E255" s="251" t="s">
        <v>332</v>
      </c>
      <c r="F255" s="251" t="s">
        <v>318</v>
      </c>
      <c r="G255" s="251" t="s">
        <v>307</v>
      </c>
      <c r="H255" s="251"/>
      <c r="I255" s="251"/>
      <c r="J255" s="251"/>
      <c r="K255" s="251"/>
      <c r="L255" s="251" t="s">
        <v>116</v>
      </c>
      <c r="M255" s="251" t="s">
        <v>125</v>
      </c>
      <c r="N255" s="251" t="s">
        <v>126</v>
      </c>
      <c r="O255" s="252" t="s">
        <v>334</v>
      </c>
      <c r="P255" s="254">
        <v>17000000</v>
      </c>
      <c r="Q255" s="254">
        <v>0</v>
      </c>
      <c r="R255" s="254">
        <v>0</v>
      </c>
      <c r="S255" s="254">
        <v>17000000</v>
      </c>
      <c r="T255" s="254">
        <v>0</v>
      </c>
      <c r="U255" s="254">
        <v>0</v>
      </c>
      <c r="V255" s="254">
        <v>17000000</v>
      </c>
      <c r="W255" s="254">
        <v>0</v>
      </c>
      <c r="X255" s="254">
        <v>0</v>
      </c>
      <c r="Y255" s="254">
        <v>0</v>
      </c>
      <c r="Z255" s="254">
        <v>0</v>
      </c>
      <c r="AA255" s="231"/>
    </row>
    <row r="256" spans="1:27" s="229" customFormat="1" ht="33.75">
      <c r="A256" s="251" t="s">
        <v>62</v>
      </c>
      <c r="B256" s="252" t="s">
        <v>421</v>
      </c>
      <c r="C256" s="253" t="s">
        <v>436</v>
      </c>
      <c r="D256" s="251" t="s">
        <v>430</v>
      </c>
      <c r="E256" s="251" t="s">
        <v>117</v>
      </c>
      <c r="F256" s="251" t="s">
        <v>318</v>
      </c>
      <c r="G256" s="251" t="s">
        <v>307</v>
      </c>
      <c r="H256" s="251"/>
      <c r="I256" s="251"/>
      <c r="J256" s="251"/>
      <c r="K256" s="251"/>
      <c r="L256" s="251" t="s">
        <v>116</v>
      </c>
      <c r="M256" s="251" t="s">
        <v>125</v>
      </c>
      <c r="N256" s="251" t="s">
        <v>118</v>
      </c>
      <c r="O256" s="252" t="s">
        <v>437</v>
      </c>
      <c r="P256" s="254">
        <v>732565586</v>
      </c>
      <c r="Q256" s="254">
        <v>0</v>
      </c>
      <c r="R256" s="254">
        <v>0</v>
      </c>
      <c r="S256" s="254">
        <v>732565586</v>
      </c>
      <c r="T256" s="254">
        <v>0</v>
      </c>
      <c r="U256" s="254">
        <v>0</v>
      </c>
      <c r="V256" s="254">
        <v>732565586</v>
      </c>
      <c r="W256" s="254">
        <v>0</v>
      </c>
      <c r="X256" s="254">
        <v>0</v>
      </c>
      <c r="Y256" s="254">
        <v>0</v>
      </c>
      <c r="Z256" s="254">
        <v>0</v>
      </c>
      <c r="AA256" s="231"/>
    </row>
    <row r="257" spans="1:27" s="229" customFormat="1" ht="33.75">
      <c r="A257" s="251" t="s">
        <v>66</v>
      </c>
      <c r="B257" s="252" t="s">
        <v>422</v>
      </c>
      <c r="C257" s="253" t="s">
        <v>306</v>
      </c>
      <c r="D257" s="251" t="s">
        <v>11</v>
      </c>
      <c r="E257" s="251" t="s">
        <v>307</v>
      </c>
      <c r="F257" s="251" t="s">
        <v>307</v>
      </c>
      <c r="G257" s="251" t="s">
        <v>307</v>
      </c>
      <c r="H257" s="251"/>
      <c r="I257" s="251"/>
      <c r="J257" s="251"/>
      <c r="K257" s="251"/>
      <c r="L257" s="251" t="s">
        <v>116</v>
      </c>
      <c r="M257" s="251" t="s">
        <v>117</v>
      </c>
      <c r="N257" s="251" t="s">
        <v>118</v>
      </c>
      <c r="O257" s="252" t="s">
        <v>308</v>
      </c>
      <c r="P257" s="254">
        <v>1547000000</v>
      </c>
      <c r="Q257" s="254">
        <v>0</v>
      </c>
      <c r="R257" s="254">
        <v>0</v>
      </c>
      <c r="S257" s="254">
        <v>1547000000</v>
      </c>
      <c r="T257" s="254">
        <v>0</v>
      </c>
      <c r="U257" s="254">
        <v>107608250</v>
      </c>
      <c r="V257" s="254">
        <v>1439391750</v>
      </c>
      <c r="W257" s="254">
        <v>107608250</v>
      </c>
      <c r="X257" s="254">
        <v>107608250</v>
      </c>
      <c r="Y257" s="254">
        <v>107608250</v>
      </c>
      <c r="Z257" s="254">
        <v>107608250</v>
      </c>
      <c r="AA257" s="231"/>
    </row>
    <row r="258" spans="1:27" s="229" customFormat="1" ht="33.75">
      <c r="A258" s="251" t="s">
        <v>66</v>
      </c>
      <c r="B258" s="252" t="s">
        <v>422</v>
      </c>
      <c r="C258" s="253" t="s">
        <v>309</v>
      </c>
      <c r="D258" s="251" t="s">
        <v>11</v>
      </c>
      <c r="E258" s="251" t="s">
        <v>307</v>
      </c>
      <c r="F258" s="251" t="s">
        <v>307</v>
      </c>
      <c r="G258" s="251" t="s">
        <v>310</v>
      </c>
      <c r="H258" s="251"/>
      <c r="I258" s="251"/>
      <c r="J258" s="251"/>
      <c r="K258" s="251"/>
      <c r="L258" s="251" t="s">
        <v>116</v>
      </c>
      <c r="M258" s="251" t="s">
        <v>117</v>
      </c>
      <c r="N258" s="251" t="s">
        <v>118</v>
      </c>
      <c r="O258" s="252" t="s">
        <v>311</v>
      </c>
      <c r="P258" s="254">
        <v>516000000</v>
      </c>
      <c r="Q258" s="254">
        <v>0</v>
      </c>
      <c r="R258" s="254">
        <v>0</v>
      </c>
      <c r="S258" s="254">
        <v>516000000</v>
      </c>
      <c r="T258" s="254">
        <v>0</v>
      </c>
      <c r="U258" s="254">
        <v>48920910</v>
      </c>
      <c r="V258" s="254">
        <v>467079090</v>
      </c>
      <c r="W258" s="254">
        <v>48920910</v>
      </c>
      <c r="X258" s="254">
        <v>48920910</v>
      </c>
      <c r="Y258" s="254">
        <v>48920910</v>
      </c>
      <c r="Z258" s="254">
        <v>48920910</v>
      </c>
      <c r="AA258" s="231"/>
    </row>
    <row r="259" spans="1:27" s="229" customFormat="1" ht="33.75">
      <c r="A259" s="251" t="s">
        <v>66</v>
      </c>
      <c r="B259" s="252" t="s">
        <v>422</v>
      </c>
      <c r="C259" s="253" t="s">
        <v>312</v>
      </c>
      <c r="D259" s="251" t="s">
        <v>11</v>
      </c>
      <c r="E259" s="251" t="s">
        <v>307</v>
      </c>
      <c r="F259" s="251" t="s">
        <v>307</v>
      </c>
      <c r="G259" s="251" t="s">
        <v>313</v>
      </c>
      <c r="H259" s="251"/>
      <c r="I259" s="251"/>
      <c r="J259" s="251"/>
      <c r="K259" s="251"/>
      <c r="L259" s="251" t="s">
        <v>116</v>
      </c>
      <c r="M259" s="251" t="s">
        <v>117</v>
      </c>
      <c r="N259" s="251" t="s">
        <v>118</v>
      </c>
      <c r="O259" s="252" t="s">
        <v>314</v>
      </c>
      <c r="P259" s="254">
        <v>206000000</v>
      </c>
      <c r="Q259" s="254">
        <v>0</v>
      </c>
      <c r="R259" s="254">
        <v>0</v>
      </c>
      <c r="S259" s="254">
        <v>206000000</v>
      </c>
      <c r="T259" s="254">
        <v>0</v>
      </c>
      <c r="U259" s="254">
        <v>22132111</v>
      </c>
      <c r="V259" s="254">
        <v>183867889</v>
      </c>
      <c r="W259" s="254">
        <v>22132111</v>
      </c>
      <c r="X259" s="254">
        <v>22132111</v>
      </c>
      <c r="Y259" s="254">
        <v>22132111</v>
      </c>
      <c r="Z259" s="254">
        <v>22132111</v>
      </c>
      <c r="AA259" s="231"/>
    </row>
    <row r="260" spans="1:27" s="229" customFormat="1" ht="33.75">
      <c r="A260" s="251" t="s">
        <v>66</v>
      </c>
      <c r="B260" s="252" t="s">
        <v>422</v>
      </c>
      <c r="C260" s="253" t="s">
        <v>432</v>
      </c>
      <c r="D260" s="251" t="s">
        <v>11</v>
      </c>
      <c r="E260" s="251" t="s">
        <v>310</v>
      </c>
      <c r="F260" s="251"/>
      <c r="G260" s="251"/>
      <c r="H260" s="251"/>
      <c r="I260" s="251"/>
      <c r="J260" s="251"/>
      <c r="K260" s="251"/>
      <c r="L260" s="251" t="s">
        <v>116</v>
      </c>
      <c r="M260" s="251" t="s">
        <v>117</v>
      </c>
      <c r="N260" s="251" t="s">
        <v>118</v>
      </c>
      <c r="O260" s="252" t="s">
        <v>433</v>
      </c>
      <c r="P260" s="254">
        <v>131000000</v>
      </c>
      <c r="Q260" s="254">
        <v>0</v>
      </c>
      <c r="R260" s="254">
        <v>0</v>
      </c>
      <c r="S260" s="254">
        <v>131000000</v>
      </c>
      <c r="T260" s="254">
        <v>0</v>
      </c>
      <c r="U260" s="254">
        <v>0</v>
      </c>
      <c r="V260" s="254">
        <v>131000000</v>
      </c>
      <c r="W260" s="254">
        <v>0</v>
      </c>
      <c r="X260" s="254">
        <v>0</v>
      </c>
      <c r="Y260" s="254">
        <v>0</v>
      </c>
      <c r="Z260" s="254">
        <v>0</v>
      </c>
      <c r="AA260" s="231"/>
    </row>
    <row r="261" spans="1:27" s="229" customFormat="1" ht="33.75">
      <c r="A261" s="251" t="s">
        <v>66</v>
      </c>
      <c r="B261" s="252" t="s">
        <v>422</v>
      </c>
      <c r="C261" s="253" t="s">
        <v>294</v>
      </c>
      <c r="D261" s="251" t="s">
        <v>11</v>
      </c>
      <c r="E261" s="251" t="s">
        <v>332</v>
      </c>
      <c r="F261" s="251" t="s">
        <v>318</v>
      </c>
      <c r="G261" s="251" t="s">
        <v>307</v>
      </c>
      <c r="H261" s="251"/>
      <c r="I261" s="251"/>
      <c r="J261" s="251"/>
      <c r="K261" s="251"/>
      <c r="L261" s="251" t="s">
        <v>116</v>
      </c>
      <c r="M261" s="251" t="s">
        <v>125</v>
      </c>
      <c r="N261" s="251" t="s">
        <v>126</v>
      </c>
      <c r="O261" s="252" t="s">
        <v>334</v>
      </c>
      <c r="P261" s="254">
        <v>17000000</v>
      </c>
      <c r="Q261" s="254">
        <v>0</v>
      </c>
      <c r="R261" s="254">
        <v>0</v>
      </c>
      <c r="S261" s="254">
        <v>17000000</v>
      </c>
      <c r="T261" s="254">
        <v>0</v>
      </c>
      <c r="U261" s="254">
        <v>0</v>
      </c>
      <c r="V261" s="254">
        <v>17000000</v>
      </c>
      <c r="W261" s="254">
        <v>0</v>
      </c>
      <c r="X261" s="254">
        <v>0</v>
      </c>
      <c r="Y261" s="254">
        <v>0</v>
      </c>
      <c r="Z261" s="254">
        <v>0</v>
      </c>
      <c r="AA261" s="231"/>
    </row>
    <row r="262" spans="1:27" s="229" customFormat="1" ht="33.75">
      <c r="A262" s="251" t="s">
        <v>68</v>
      </c>
      <c r="B262" s="252" t="s">
        <v>423</v>
      </c>
      <c r="C262" s="253" t="s">
        <v>306</v>
      </c>
      <c r="D262" s="251" t="s">
        <v>11</v>
      </c>
      <c r="E262" s="251" t="s">
        <v>307</v>
      </c>
      <c r="F262" s="251" t="s">
        <v>307</v>
      </c>
      <c r="G262" s="251" t="s">
        <v>307</v>
      </c>
      <c r="H262" s="251"/>
      <c r="I262" s="251"/>
      <c r="J262" s="251"/>
      <c r="K262" s="251"/>
      <c r="L262" s="251" t="s">
        <v>116</v>
      </c>
      <c r="M262" s="251" t="s">
        <v>117</v>
      </c>
      <c r="N262" s="251" t="s">
        <v>118</v>
      </c>
      <c r="O262" s="252" t="s">
        <v>308</v>
      </c>
      <c r="P262" s="254">
        <v>540800000</v>
      </c>
      <c r="Q262" s="254">
        <v>0</v>
      </c>
      <c r="R262" s="254">
        <v>0</v>
      </c>
      <c r="S262" s="254">
        <v>540800000</v>
      </c>
      <c r="T262" s="254">
        <v>0</v>
      </c>
      <c r="U262" s="254">
        <v>454102000</v>
      </c>
      <c r="V262" s="254">
        <v>86698000</v>
      </c>
      <c r="W262" s="254">
        <v>0</v>
      </c>
      <c r="X262" s="254">
        <v>0</v>
      </c>
      <c r="Y262" s="254">
        <v>0</v>
      </c>
      <c r="Z262" s="254">
        <v>0</v>
      </c>
      <c r="AA262" s="231"/>
    </row>
    <row r="263" spans="1:27" s="229" customFormat="1" ht="33.75">
      <c r="A263" s="251" t="s">
        <v>68</v>
      </c>
      <c r="B263" s="252" t="s">
        <v>423</v>
      </c>
      <c r="C263" s="253" t="s">
        <v>432</v>
      </c>
      <c r="D263" s="251" t="s">
        <v>11</v>
      </c>
      <c r="E263" s="251" t="s">
        <v>310</v>
      </c>
      <c r="F263" s="251"/>
      <c r="G263" s="251"/>
      <c r="H263" s="251"/>
      <c r="I263" s="251"/>
      <c r="J263" s="251"/>
      <c r="K263" s="251"/>
      <c r="L263" s="251" t="s">
        <v>116</v>
      </c>
      <c r="M263" s="251" t="s">
        <v>117</v>
      </c>
      <c r="N263" s="251" t="s">
        <v>118</v>
      </c>
      <c r="O263" s="252" t="s">
        <v>433</v>
      </c>
      <c r="P263" s="254">
        <v>299775000</v>
      </c>
      <c r="Q263" s="254">
        <v>0</v>
      </c>
      <c r="R263" s="254">
        <v>0</v>
      </c>
      <c r="S263" s="254">
        <v>299775000</v>
      </c>
      <c r="T263" s="254">
        <v>0</v>
      </c>
      <c r="U263" s="254">
        <v>0</v>
      </c>
      <c r="V263" s="254">
        <v>299775000</v>
      </c>
      <c r="W263" s="254">
        <v>0</v>
      </c>
      <c r="X263" s="254">
        <v>0</v>
      </c>
      <c r="Y263" s="254">
        <v>0</v>
      </c>
      <c r="Z263" s="254">
        <v>0</v>
      </c>
      <c r="AA263" s="231"/>
    </row>
    <row r="264" spans="1:27" s="229" customFormat="1" ht="33.75">
      <c r="A264" s="251" t="s">
        <v>80</v>
      </c>
      <c r="B264" s="252" t="s">
        <v>424</v>
      </c>
      <c r="C264" s="253" t="s">
        <v>306</v>
      </c>
      <c r="D264" s="251" t="s">
        <v>11</v>
      </c>
      <c r="E264" s="251" t="s">
        <v>307</v>
      </c>
      <c r="F264" s="251" t="s">
        <v>307</v>
      </c>
      <c r="G264" s="251" t="s">
        <v>307</v>
      </c>
      <c r="H264" s="251"/>
      <c r="I264" s="251"/>
      <c r="J264" s="251"/>
      <c r="K264" s="251"/>
      <c r="L264" s="251" t="s">
        <v>116</v>
      </c>
      <c r="M264" s="251" t="s">
        <v>117</v>
      </c>
      <c r="N264" s="251" t="s">
        <v>118</v>
      </c>
      <c r="O264" s="252" t="s">
        <v>308</v>
      </c>
      <c r="P264" s="254">
        <v>1906900000</v>
      </c>
      <c r="Q264" s="254">
        <v>0</v>
      </c>
      <c r="R264" s="254">
        <v>0</v>
      </c>
      <c r="S264" s="254">
        <v>1906900000</v>
      </c>
      <c r="T264" s="254">
        <v>0</v>
      </c>
      <c r="U264" s="254">
        <v>0</v>
      </c>
      <c r="V264" s="254">
        <v>1906900000</v>
      </c>
      <c r="W264" s="254">
        <v>0</v>
      </c>
      <c r="X264" s="254">
        <v>0</v>
      </c>
      <c r="Y264" s="254">
        <v>0</v>
      </c>
      <c r="Z264" s="254">
        <v>0</v>
      </c>
      <c r="AA264" s="231"/>
    </row>
    <row r="265" spans="1:27" s="229" customFormat="1" ht="33.75">
      <c r="A265" s="251" t="s">
        <v>80</v>
      </c>
      <c r="B265" s="252" t="s">
        <v>424</v>
      </c>
      <c r="C265" s="253" t="s">
        <v>309</v>
      </c>
      <c r="D265" s="251" t="s">
        <v>11</v>
      </c>
      <c r="E265" s="251" t="s">
        <v>307</v>
      </c>
      <c r="F265" s="251" t="s">
        <v>307</v>
      </c>
      <c r="G265" s="251" t="s">
        <v>310</v>
      </c>
      <c r="H265" s="251"/>
      <c r="I265" s="251"/>
      <c r="J265" s="251"/>
      <c r="K265" s="251"/>
      <c r="L265" s="251" t="s">
        <v>116</v>
      </c>
      <c r="M265" s="251" t="s">
        <v>117</v>
      </c>
      <c r="N265" s="251" t="s">
        <v>118</v>
      </c>
      <c r="O265" s="252" t="s">
        <v>311</v>
      </c>
      <c r="P265" s="254">
        <v>538100000</v>
      </c>
      <c r="Q265" s="254">
        <v>0</v>
      </c>
      <c r="R265" s="254">
        <v>0</v>
      </c>
      <c r="S265" s="254">
        <v>538100000</v>
      </c>
      <c r="T265" s="254">
        <v>0</v>
      </c>
      <c r="U265" s="254">
        <v>0</v>
      </c>
      <c r="V265" s="254">
        <v>538100000</v>
      </c>
      <c r="W265" s="254">
        <v>0</v>
      </c>
      <c r="X265" s="254">
        <v>0</v>
      </c>
      <c r="Y265" s="254">
        <v>0</v>
      </c>
      <c r="Z265" s="254">
        <v>0</v>
      </c>
      <c r="AA265" s="231"/>
    </row>
    <row r="266" spans="1:27" s="229" customFormat="1" ht="33.75">
      <c r="A266" s="251" t="s">
        <v>80</v>
      </c>
      <c r="B266" s="252" t="s">
        <v>424</v>
      </c>
      <c r="C266" s="253" t="s">
        <v>312</v>
      </c>
      <c r="D266" s="251" t="s">
        <v>11</v>
      </c>
      <c r="E266" s="251" t="s">
        <v>307</v>
      </c>
      <c r="F266" s="251" t="s">
        <v>307</v>
      </c>
      <c r="G266" s="251" t="s">
        <v>313</v>
      </c>
      <c r="H266" s="251"/>
      <c r="I266" s="251"/>
      <c r="J266" s="251"/>
      <c r="K266" s="251"/>
      <c r="L266" s="251" t="s">
        <v>116</v>
      </c>
      <c r="M266" s="251" t="s">
        <v>117</v>
      </c>
      <c r="N266" s="251" t="s">
        <v>118</v>
      </c>
      <c r="O266" s="252" t="s">
        <v>314</v>
      </c>
      <c r="P266" s="254">
        <v>161900000</v>
      </c>
      <c r="Q266" s="254">
        <v>0</v>
      </c>
      <c r="R266" s="254">
        <v>0</v>
      </c>
      <c r="S266" s="254">
        <v>161900000</v>
      </c>
      <c r="T266" s="254">
        <v>0</v>
      </c>
      <c r="U266" s="254">
        <v>0</v>
      </c>
      <c r="V266" s="254">
        <v>161900000</v>
      </c>
      <c r="W266" s="254">
        <v>0</v>
      </c>
      <c r="X266" s="254">
        <v>0</v>
      </c>
      <c r="Y266" s="254">
        <v>0</v>
      </c>
      <c r="Z266" s="254">
        <v>0</v>
      </c>
      <c r="AA266" s="231"/>
    </row>
    <row r="267" spans="1:27" s="229" customFormat="1" ht="33.75">
      <c r="A267" s="251" t="s">
        <v>80</v>
      </c>
      <c r="B267" s="252" t="s">
        <v>424</v>
      </c>
      <c r="C267" s="253" t="s">
        <v>432</v>
      </c>
      <c r="D267" s="251" t="s">
        <v>11</v>
      </c>
      <c r="E267" s="251" t="s">
        <v>310</v>
      </c>
      <c r="F267" s="251"/>
      <c r="G267" s="251"/>
      <c r="H267" s="251"/>
      <c r="I267" s="251"/>
      <c r="J267" s="251"/>
      <c r="K267" s="251"/>
      <c r="L267" s="251" t="s">
        <v>116</v>
      </c>
      <c r="M267" s="251" t="s">
        <v>117</v>
      </c>
      <c r="N267" s="251" t="s">
        <v>118</v>
      </c>
      <c r="O267" s="252" t="s">
        <v>433</v>
      </c>
      <c r="P267" s="254">
        <v>51849600</v>
      </c>
      <c r="Q267" s="254">
        <v>0</v>
      </c>
      <c r="R267" s="254">
        <v>0</v>
      </c>
      <c r="S267" s="254">
        <v>51849600</v>
      </c>
      <c r="T267" s="254">
        <v>0</v>
      </c>
      <c r="U267" s="254">
        <v>0</v>
      </c>
      <c r="V267" s="254">
        <v>51849600</v>
      </c>
      <c r="W267" s="254">
        <v>0</v>
      </c>
      <c r="X267" s="254">
        <v>0</v>
      </c>
      <c r="Y267" s="254">
        <v>0</v>
      </c>
      <c r="Z267" s="254">
        <v>0</v>
      </c>
      <c r="AA267" s="231"/>
    </row>
    <row r="268" spans="1:27" s="229" customFormat="1" ht="33.75">
      <c r="A268" s="251" t="s">
        <v>80</v>
      </c>
      <c r="B268" s="252" t="s">
        <v>424</v>
      </c>
      <c r="C268" s="253" t="s">
        <v>330</v>
      </c>
      <c r="D268" s="251" t="s">
        <v>11</v>
      </c>
      <c r="E268" s="251" t="s">
        <v>313</v>
      </c>
      <c r="F268" s="251" t="s">
        <v>318</v>
      </c>
      <c r="G268" s="251" t="s">
        <v>310</v>
      </c>
      <c r="H268" s="251" t="s">
        <v>331</v>
      </c>
      <c r="I268" s="251"/>
      <c r="J268" s="251"/>
      <c r="K268" s="251"/>
      <c r="L268" s="251" t="s">
        <v>116</v>
      </c>
      <c r="M268" s="251" t="s">
        <v>117</v>
      </c>
      <c r="N268" s="251" t="s">
        <v>118</v>
      </c>
      <c r="O268" s="252" t="s">
        <v>352</v>
      </c>
      <c r="P268" s="254">
        <v>4665500</v>
      </c>
      <c r="Q268" s="254">
        <v>0</v>
      </c>
      <c r="R268" s="254">
        <v>0</v>
      </c>
      <c r="S268" s="254">
        <v>4665500</v>
      </c>
      <c r="T268" s="254">
        <v>0</v>
      </c>
      <c r="U268" s="254">
        <v>0</v>
      </c>
      <c r="V268" s="254">
        <v>4665500</v>
      </c>
      <c r="W268" s="254">
        <v>0</v>
      </c>
      <c r="X268" s="254">
        <v>0</v>
      </c>
      <c r="Y268" s="254">
        <v>0</v>
      </c>
      <c r="Z268" s="254">
        <v>0</v>
      </c>
      <c r="AA268" s="231"/>
    </row>
    <row r="269" spans="1:27" s="229" customFormat="1" ht="33.75">
      <c r="A269" s="251" t="s">
        <v>80</v>
      </c>
      <c r="B269" s="252" t="s">
        <v>424</v>
      </c>
      <c r="C269" s="253" t="s">
        <v>298</v>
      </c>
      <c r="D269" s="251" t="s">
        <v>11</v>
      </c>
      <c r="E269" s="251" t="s">
        <v>332</v>
      </c>
      <c r="F269" s="251" t="s">
        <v>307</v>
      </c>
      <c r="G269" s="251"/>
      <c r="H269" s="251"/>
      <c r="I269" s="251"/>
      <c r="J269" s="251"/>
      <c r="K269" s="251"/>
      <c r="L269" s="251" t="s">
        <v>116</v>
      </c>
      <c r="M269" s="251" t="s">
        <v>117</v>
      </c>
      <c r="N269" s="251" t="s">
        <v>118</v>
      </c>
      <c r="O269" s="252" t="s">
        <v>333</v>
      </c>
      <c r="P269" s="254">
        <v>1689600</v>
      </c>
      <c r="Q269" s="254">
        <v>0</v>
      </c>
      <c r="R269" s="254">
        <v>0</v>
      </c>
      <c r="S269" s="254">
        <v>1689600</v>
      </c>
      <c r="T269" s="254">
        <v>0</v>
      </c>
      <c r="U269" s="254">
        <v>0</v>
      </c>
      <c r="V269" s="254">
        <v>1689600</v>
      </c>
      <c r="W269" s="254">
        <v>0</v>
      </c>
      <c r="X269" s="254">
        <v>0</v>
      </c>
      <c r="Y269" s="254">
        <v>0</v>
      </c>
      <c r="Z269" s="254">
        <v>0</v>
      </c>
      <c r="AA269" s="231"/>
    </row>
    <row r="270" spans="1:27" s="229" customFormat="1" ht="33.75">
      <c r="A270" s="251" t="s">
        <v>80</v>
      </c>
      <c r="B270" s="252" t="s">
        <v>424</v>
      </c>
      <c r="C270" s="253" t="s">
        <v>294</v>
      </c>
      <c r="D270" s="251" t="s">
        <v>11</v>
      </c>
      <c r="E270" s="251" t="s">
        <v>332</v>
      </c>
      <c r="F270" s="251" t="s">
        <v>318</v>
      </c>
      <c r="G270" s="251" t="s">
        <v>307</v>
      </c>
      <c r="H270" s="251"/>
      <c r="I270" s="251"/>
      <c r="J270" s="251"/>
      <c r="K270" s="251"/>
      <c r="L270" s="251" t="s">
        <v>116</v>
      </c>
      <c r="M270" s="251" t="s">
        <v>125</v>
      </c>
      <c r="N270" s="251" t="s">
        <v>126</v>
      </c>
      <c r="O270" s="252" t="s">
        <v>334</v>
      </c>
      <c r="P270" s="254">
        <v>19324800</v>
      </c>
      <c r="Q270" s="254">
        <v>0</v>
      </c>
      <c r="R270" s="254">
        <v>0</v>
      </c>
      <c r="S270" s="254">
        <v>19324800</v>
      </c>
      <c r="T270" s="254">
        <v>0</v>
      </c>
      <c r="U270" s="254">
        <v>0</v>
      </c>
      <c r="V270" s="254">
        <v>19324800</v>
      </c>
      <c r="W270" s="254">
        <v>0</v>
      </c>
      <c r="X270" s="254">
        <v>0</v>
      </c>
      <c r="Y270" s="254">
        <v>0</v>
      </c>
      <c r="Z270" s="254">
        <v>0</v>
      </c>
      <c r="AA270" s="231"/>
    </row>
    <row r="271" spans="1:27" s="229" customFormat="1" ht="33.75">
      <c r="A271" s="251" t="s">
        <v>80</v>
      </c>
      <c r="B271" s="252" t="s">
        <v>424</v>
      </c>
      <c r="C271" s="253" t="s">
        <v>436</v>
      </c>
      <c r="D271" s="251" t="s">
        <v>430</v>
      </c>
      <c r="E271" s="251" t="s">
        <v>117</v>
      </c>
      <c r="F271" s="251" t="s">
        <v>318</v>
      </c>
      <c r="G271" s="251" t="s">
        <v>307</v>
      </c>
      <c r="H271" s="251"/>
      <c r="I271" s="251"/>
      <c r="J271" s="251"/>
      <c r="K271" s="251"/>
      <c r="L271" s="251" t="s">
        <v>116</v>
      </c>
      <c r="M271" s="251" t="s">
        <v>125</v>
      </c>
      <c r="N271" s="251" t="s">
        <v>118</v>
      </c>
      <c r="O271" s="252" t="s">
        <v>437</v>
      </c>
      <c r="P271" s="254">
        <v>506088289</v>
      </c>
      <c r="Q271" s="254">
        <v>0</v>
      </c>
      <c r="R271" s="254">
        <v>0</v>
      </c>
      <c r="S271" s="254">
        <v>506088289</v>
      </c>
      <c r="T271" s="254">
        <v>0</v>
      </c>
      <c r="U271" s="254">
        <v>0</v>
      </c>
      <c r="V271" s="254">
        <v>506088289</v>
      </c>
      <c r="W271" s="254">
        <v>0</v>
      </c>
      <c r="X271" s="254">
        <v>0</v>
      </c>
      <c r="Y271" s="254">
        <v>0</v>
      </c>
      <c r="Z271" s="254">
        <v>0</v>
      </c>
      <c r="AA271" s="231"/>
    </row>
    <row r="272" spans="1:27" s="229" customFormat="1" ht="33.75">
      <c r="A272" s="251" t="s">
        <v>77</v>
      </c>
      <c r="B272" s="252" t="s">
        <v>425</v>
      </c>
      <c r="C272" s="253" t="s">
        <v>306</v>
      </c>
      <c r="D272" s="251" t="s">
        <v>11</v>
      </c>
      <c r="E272" s="251" t="s">
        <v>307</v>
      </c>
      <c r="F272" s="251" t="s">
        <v>307</v>
      </c>
      <c r="G272" s="251" t="s">
        <v>307</v>
      </c>
      <c r="H272" s="251"/>
      <c r="I272" s="251"/>
      <c r="J272" s="251"/>
      <c r="K272" s="251"/>
      <c r="L272" s="251" t="s">
        <v>116</v>
      </c>
      <c r="M272" s="251" t="s">
        <v>117</v>
      </c>
      <c r="N272" s="251" t="s">
        <v>118</v>
      </c>
      <c r="O272" s="252" t="s">
        <v>308</v>
      </c>
      <c r="P272" s="254">
        <v>1919000000</v>
      </c>
      <c r="Q272" s="254">
        <v>0</v>
      </c>
      <c r="R272" s="254">
        <v>0</v>
      </c>
      <c r="S272" s="254">
        <v>1919000000</v>
      </c>
      <c r="T272" s="254">
        <v>0</v>
      </c>
      <c r="U272" s="254">
        <v>249835363</v>
      </c>
      <c r="V272" s="254">
        <v>1669164637</v>
      </c>
      <c r="W272" s="254">
        <v>249835363</v>
      </c>
      <c r="X272" s="254">
        <v>246297417</v>
      </c>
      <c r="Y272" s="254">
        <v>246297417</v>
      </c>
      <c r="Z272" s="254">
        <v>185303249</v>
      </c>
      <c r="AA272" s="231"/>
    </row>
    <row r="273" spans="1:27" s="229" customFormat="1" ht="33.75">
      <c r="A273" s="251" t="s">
        <v>77</v>
      </c>
      <c r="B273" s="252" t="s">
        <v>425</v>
      </c>
      <c r="C273" s="253" t="s">
        <v>309</v>
      </c>
      <c r="D273" s="251" t="s">
        <v>11</v>
      </c>
      <c r="E273" s="251" t="s">
        <v>307</v>
      </c>
      <c r="F273" s="251" t="s">
        <v>307</v>
      </c>
      <c r="G273" s="251" t="s">
        <v>310</v>
      </c>
      <c r="H273" s="251"/>
      <c r="I273" s="251"/>
      <c r="J273" s="251"/>
      <c r="K273" s="251"/>
      <c r="L273" s="251" t="s">
        <v>116</v>
      </c>
      <c r="M273" s="251" t="s">
        <v>117</v>
      </c>
      <c r="N273" s="251" t="s">
        <v>118</v>
      </c>
      <c r="O273" s="252" t="s">
        <v>311</v>
      </c>
      <c r="P273" s="254">
        <v>597000000</v>
      </c>
      <c r="Q273" s="254">
        <v>0</v>
      </c>
      <c r="R273" s="254">
        <v>0</v>
      </c>
      <c r="S273" s="254">
        <v>597000000</v>
      </c>
      <c r="T273" s="254">
        <v>0</v>
      </c>
      <c r="U273" s="254">
        <v>38266956</v>
      </c>
      <c r="V273" s="254">
        <v>558733044</v>
      </c>
      <c r="W273" s="254">
        <v>38266956</v>
      </c>
      <c r="X273" s="254">
        <v>38266956</v>
      </c>
      <c r="Y273" s="254">
        <v>38266956</v>
      </c>
      <c r="Z273" s="254">
        <v>0</v>
      </c>
      <c r="AA273" s="231"/>
    </row>
    <row r="274" spans="1:27" s="229" customFormat="1" ht="33.75">
      <c r="A274" s="251" t="s">
        <v>77</v>
      </c>
      <c r="B274" s="252" t="s">
        <v>425</v>
      </c>
      <c r="C274" s="253" t="s">
        <v>312</v>
      </c>
      <c r="D274" s="251" t="s">
        <v>11</v>
      </c>
      <c r="E274" s="251" t="s">
        <v>307</v>
      </c>
      <c r="F274" s="251" t="s">
        <v>307</v>
      </c>
      <c r="G274" s="251" t="s">
        <v>313</v>
      </c>
      <c r="H274" s="251"/>
      <c r="I274" s="251"/>
      <c r="J274" s="251"/>
      <c r="K274" s="251"/>
      <c r="L274" s="251" t="s">
        <v>116</v>
      </c>
      <c r="M274" s="251" t="s">
        <v>117</v>
      </c>
      <c r="N274" s="251" t="s">
        <v>118</v>
      </c>
      <c r="O274" s="252" t="s">
        <v>314</v>
      </c>
      <c r="P274" s="254">
        <v>339000000</v>
      </c>
      <c r="Q274" s="254">
        <v>0</v>
      </c>
      <c r="R274" s="254">
        <v>0</v>
      </c>
      <c r="S274" s="254">
        <v>339000000</v>
      </c>
      <c r="T274" s="254">
        <v>0</v>
      </c>
      <c r="U274" s="254">
        <v>37714171</v>
      </c>
      <c r="V274" s="254">
        <v>301285829</v>
      </c>
      <c r="W274" s="254">
        <v>37714171</v>
      </c>
      <c r="X274" s="254">
        <v>37714171</v>
      </c>
      <c r="Y274" s="254">
        <v>37714171</v>
      </c>
      <c r="Z274" s="254">
        <v>28245129</v>
      </c>
      <c r="AA274" s="231"/>
    </row>
    <row r="275" spans="1:27" s="229" customFormat="1" ht="33.75">
      <c r="A275" s="251" t="s">
        <v>77</v>
      </c>
      <c r="B275" s="252" t="s">
        <v>425</v>
      </c>
      <c r="C275" s="253" t="s">
        <v>432</v>
      </c>
      <c r="D275" s="251" t="s">
        <v>11</v>
      </c>
      <c r="E275" s="251" t="s">
        <v>310</v>
      </c>
      <c r="F275" s="251"/>
      <c r="G275" s="251"/>
      <c r="H275" s="251"/>
      <c r="I275" s="251"/>
      <c r="J275" s="251"/>
      <c r="K275" s="251"/>
      <c r="L275" s="251" t="s">
        <v>116</v>
      </c>
      <c r="M275" s="251" t="s">
        <v>117</v>
      </c>
      <c r="N275" s="251" t="s">
        <v>118</v>
      </c>
      <c r="O275" s="252" t="s">
        <v>433</v>
      </c>
      <c r="P275" s="254">
        <v>58000000</v>
      </c>
      <c r="Q275" s="254">
        <v>0</v>
      </c>
      <c r="R275" s="254">
        <v>0</v>
      </c>
      <c r="S275" s="254">
        <v>58000000</v>
      </c>
      <c r="T275" s="254">
        <v>0</v>
      </c>
      <c r="U275" s="254">
        <v>0</v>
      </c>
      <c r="V275" s="254">
        <v>58000000</v>
      </c>
      <c r="W275" s="254">
        <v>0</v>
      </c>
      <c r="X275" s="254">
        <v>0</v>
      </c>
      <c r="Y275" s="254">
        <v>0</v>
      </c>
      <c r="Z275" s="254">
        <v>0</v>
      </c>
      <c r="AA275" s="231"/>
    </row>
    <row r="276" spans="1:27" s="229" customFormat="1" ht="33.75">
      <c r="A276" s="251" t="s">
        <v>77</v>
      </c>
      <c r="B276" s="252" t="s">
        <v>425</v>
      </c>
      <c r="C276" s="253" t="s">
        <v>294</v>
      </c>
      <c r="D276" s="251" t="s">
        <v>11</v>
      </c>
      <c r="E276" s="251" t="s">
        <v>332</v>
      </c>
      <c r="F276" s="251" t="s">
        <v>318</v>
      </c>
      <c r="G276" s="251" t="s">
        <v>307</v>
      </c>
      <c r="H276" s="251"/>
      <c r="I276" s="251"/>
      <c r="J276" s="251"/>
      <c r="K276" s="251"/>
      <c r="L276" s="251" t="s">
        <v>116</v>
      </c>
      <c r="M276" s="251" t="s">
        <v>125</v>
      </c>
      <c r="N276" s="251" t="s">
        <v>126</v>
      </c>
      <c r="O276" s="252" t="s">
        <v>334</v>
      </c>
      <c r="P276" s="254">
        <v>8000000</v>
      </c>
      <c r="Q276" s="254">
        <v>0</v>
      </c>
      <c r="R276" s="254">
        <v>0</v>
      </c>
      <c r="S276" s="254">
        <v>8000000</v>
      </c>
      <c r="T276" s="254">
        <v>0</v>
      </c>
      <c r="U276" s="254">
        <v>0</v>
      </c>
      <c r="V276" s="254">
        <v>8000000</v>
      </c>
      <c r="W276" s="254">
        <v>0</v>
      </c>
      <c r="X276" s="254">
        <v>0</v>
      </c>
      <c r="Y276" s="254">
        <v>0</v>
      </c>
      <c r="Z276" s="254">
        <v>0</v>
      </c>
      <c r="AA276" s="231"/>
    </row>
    <row r="277" spans="1:27" s="229" customFormat="1">
      <c r="A277" s="251" t="s">
        <v>84</v>
      </c>
      <c r="B277" s="252" t="s">
        <v>84</v>
      </c>
      <c r="C277" s="253" t="s">
        <v>84</v>
      </c>
      <c r="D277" s="251" t="s">
        <v>84</v>
      </c>
      <c r="E277" s="251" t="s">
        <v>84</v>
      </c>
      <c r="F277" s="251" t="s">
        <v>84</v>
      </c>
      <c r="G277" s="251" t="s">
        <v>84</v>
      </c>
      <c r="H277" s="251" t="s">
        <v>84</v>
      </c>
      <c r="I277" s="251" t="s">
        <v>84</v>
      </c>
      <c r="J277" s="251" t="s">
        <v>84</v>
      </c>
      <c r="K277" s="251" t="s">
        <v>84</v>
      </c>
      <c r="L277" s="251" t="s">
        <v>84</v>
      </c>
      <c r="M277" s="251" t="s">
        <v>84</v>
      </c>
      <c r="N277" s="251" t="s">
        <v>84</v>
      </c>
      <c r="O277" s="252" t="s">
        <v>84</v>
      </c>
      <c r="P277" s="254">
        <v>1407601587028</v>
      </c>
      <c r="Q277" s="254">
        <v>0</v>
      </c>
      <c r="R277" s="254">
        <v>0</v>
      </c>
      <c r="S277" s="254">
        <v>1407601587028</v>
      </c>
      <c r="T277" s="254">
        <v>417924368835</v>
      </c>
      <c r="U277" s="254">
        <v>649086057630.82996</v>
      </c>
      <c r="V277" s="254">
        <v>340591160562.16998</v>
      </c>
      <c r="W277" s="254">
        <v>323607320017.96997</v>
      </c>
      <c r="X277" s="254">
        <v>115740876606</v>
      </c>
      <c r="Y277" s="254">
        <v>115157870805</v>
      </c>
      <c r="Z277" s="254">
        <v>32961154634.470001</v>
      </c>
      <c r="AA277" s="231"/>
    </row>
    <row r="278" spans="1:27" s="229" customFormat="1">
      <c r="A278" s="239"/>
      <c r="B278" s="240"/>
      <c r="C278" s="241"/>
      <c r="D278" s="239"/>
      <c r="E278" s="239"/>
      <c r="F278" s="239"/>
      <c r="G278" s="239"/>
      <c r="H278" s="239"/>
      <c r="I278" s="239"/>
      <c r="J278" s="239"/>
      <c r="K278" s="239"/>
      <c r="L278" s="239"/>
      <c r="M278" s="239"/>
      <c r="N278" s="239"/>
      <c r="O278" s="240"/>
      <c r="P278" s="242"/>
      <c r="Q278" s="242"/>
      <c r="R278" s="242"/>
      <c r="S278" s="242"/>
      <c r="T278" s="242"/>
      <c r="U278" s="242"/>
      <c r="V278" s="242"/>
      <c r="W278" s="242"/>
      <c r="X278" s="242"/>
      <c r="Y278" s="242"/>
      <c r="Z278" s="242"/>
      <c r="AA278" s="231"/>
    </row>
    <row r="279" spans="1:27" s="229" customFormat="1">
      <c r="A279" s="239"/>
      <c r="B279" s="240"/>
      <c r="C279" s="241"/>
      <c r="D279" s="239"/>
      <c r="E279" s="239"/>
      <c r="F279" s="239"/>
      <c r="G279" s="239"/>
      <c r="H279" s="239"/>
      <c r="I279" s="239"/>
      <c r="J279" s="239"/>
      <c r="K279" s="239"/>
      <c r="L279" s="239"/>
      <c r="M279" s="239"/>
      <c r="N279" s="239"/>
      <c r="O279" s="240"/>
      <c r="P279" s="242"/>
      <c r="Q279" s="242"/>
      <c r="R279" s="242"/>
      <c r="S279" s="242"/>
      <c r="T279" s="242"/>
      <c r="U279" s="242"/>
      <c r="V279" s="242"/>
      <c r="W279" s="242"/>
      <c r="X279" s="242"/>
      <c r="Y279" s="242"/>
      <c r="Z279" s="242"/>
      <c r="AA279" s="231"/>
    </row>
    <row r="280" spans="1:27" s="229" customFormat="1">
      <c r="A280" s="239"/>
      <c r="B280" s="240"/>
      <c r="C280" s="241"/>
      <c r="D280" s="239"/>
      <c r="E280" s="239"/>
      <c r="F280" s="239"/>
      <c r="G280" s="239"/>
      <c r="H280" s="239"/>
      <c r="I280" s="239"/>
      <c r="J280" s="239"/>
      <c r="K280" s="239"/>
      <c r="L280" s="239"/>
      <c r="M280" s="239"/>
      <c r="N280" s="239"/>
      <c r="O280" s="240"/>
      <c r="P280" s="242"/>
      <c r="Q280" s="242"/>
      <c r="R280" s="242"/>
      <c r="S280" s="242"/>
      <c r="T280" s="242"/>
      <c r="U280" s="242"/>
      <c r="V280" s="242"/>
      <c r="W280" s="242"/>
      <c r="X280" s="242"/>
      <c r="Y280" s="242"/>
      <c r="Z280" s="242"/>
      <c r="AA280" s="231"/>
    </row>
    <row r="281" spans="1:27" s="229" customFormat="1">
      <c r="A281" s="239"/>
      <c r="B281" s="240"/>
      <c r="C281" s="241"/>
      <c r="D281" s="239"/>
      <c r="E281" s="239"/>
      <c r="F281" s="239"/>
      <c r="G281" s="239"/>
      <c r="H281" s="239"/>
      <c r="I281" s="239"/>
      <c r="J281" s="239"/>
      <c r="K281" s="239"/>
      <c r="L281" s="239"/>
      <c r="M281" s="239"/>
      <c r="N281" s="239"/>
      <c r="O281" s="240"/>
      <c r="P281" s="242"/>
      <c r="Q281" s="242"/>
      <c r="R281" s="242"/>
      <c r="S281" s="242"/>
      <c r="T281" s="242"/>
      <c r="U281" s="242"/>
      <c r="V281" s="242"/>
      <c r="W281" s="242"/>
      <c r="X281" s="242"/>
      <c r="Y281" s="242"/>
      <c r="Z281" s="242"/>
      <c r="AA281" s="231"/>
    </row>
    <row r="282" spans="1:27" s="229" customFormat="1">
      <c r="A282" s="239"/>
      <c r="B282" s="240"/>
      <c r="C282" s="241"/>
      <c r="D282" s="239"/>
      <c r="E282" s="239"/>
      <c r="F282" s="239"/>
      <c r="G282" s="239"/>
      <c r="H282" s="239"/>
      <c r="I282" s="239"/>
      <c r="J282" s="239"/>
      <c r="K282" s="239"/>
      <c r="L282" s="239"/>
      <c r="M282" s="239"/>
      <c r="N282" s="239"/>
      <c r="O282" s="240"/>
      <c r="P282" s="242"/>
      <c r="Q282" s="242"/>
      <c r="R282" s="242"/>
      <c r="S282" s="242"/>
      <c r="T282" s="242"/>
      <c r="U282" s="242"/>
      <c r="V282" s="242"/>
      <c r="W282" s="242"/>
      <c r="X282" s="242"/>
      <c r="Y282" s="242"/>
      <c r="Z282" s="242"/>
      <c r="AA282" s="231"/>
    </row>
    <row r="283" spans="1:27" s="229" customFormat="1">
      <c r="A283" s="239"/>
      <c r="B283" s="240"/>
      <c r="C283" s="241"/>
      <c r="D283" s="239"/>
      <c r="E283" s="239"/>
      <c r="F283" s="239"/>
      <c r="G283" s="239"/>
      <c r="H283" s="239"/>
      <c r="I283" s="239"/>
      <c r="J283" s="239"/>
      <c r="K283" s="239"/>
      <c r="L283" s="239"/>
      <c r="M283" s="239"/>
      <c r="N283" s="239"/>
      <c r="O283" s="240"/>
      <c r="P283" s="242"/>
      <c r="Q283" s="242"/>
      <c r="R283" s="242"/>
      <c r="S283" s="242"/>
      <c r="T283" s="242"/>
      <c r="U283" s="242"/>
      <c r="V283" s="242"/>
      <c r="W283" s="242"/>
      <c r="X283" s="242"/>
      <c r="Y283" s="242"/>
      <c r="Z283" s="242"/>
      <c r="AA283" s="231"/>
    </row>
    <row r="284" spans="1:27" s="229" customFormat="1">
      <c r="A284" s="239"/>
      <c r="B284" s="240"/>
      <c r="C284" s="241"/>
      <c r="D284" s="239"/>
      <c r="E284" s="239"/>
      <c r="F284" s="239"/>
      <c r="G284" s="239"/>
      <c r="H284" s="239"/>
      <c r="I284" s="239"/>
      <c r="J284" s="239"/>
      <c r="K284" s="239"/>
      <c r="L284" s="239"/>
      <c r="M284" s="239"/>
      <c r="N284" s="239"/>
      <c r="O284" s="240"/>
      <c r="P284" s="242"/>
      <c r="Q284" s="242"/>
      <c r="R284" s="242"/>
      <c r="S284" s="242"/>
      <c r="T284" s="242"/>
      <c r="U284" s="242"/>
      <c r="V284" s="242"/>
      <c r="W284" s="242"/>
      <c r="X284" s="242"/>
      <c r="Y284" s="242"/>
      <c r="Z284" s="242"/>
      <c r="AA284" s="231"/>
    </row>
    <row r="285" spans="1:27" s="229" customFormat="1">
      <c r="A285" s="239"/>
      <c r="B285" s="240"/>
      <c r="C285" s="241"/>
      <c r="D285" s="239"/>
      <c r="E285" s="239"/>
      <c r="F285" s="239"/>
      <c r="G285" s="239"/>
      <c r="H285" s="239"/>
      <c r="I285" s="239"/>
      <c r="J285" s="239"/>
      <c r="K285" s="239"/>
      <c r="L285" s="239"/>
      <c r="M285" s="239"/>
      <c r="N285" s="239"/>
      <c r="O285" s="240"/>
      <c r="P285" s="242"/>
      <c r="Q285" s="242"/>
      <c r="R285" s="242"/>
      <c r="S285" s="242"/>
      <c r="T285" s="242"/>
      <c r="U285" s="242"/>
      <c r="V285" s="242"/>
      <c r="W285" s="242"/>
      <c r="X285" s="242"/>
      <c r="Y285" s="242"/>
      <c r="Z285" s="242"/>
      <c r="AA285" s="231"/>
    </row>
    <row r="286" spans="1:27" s="229" customFormat="1">
      <c r="A286" s="239"/>
      <c r="B286" s="240"/>
      <c r="C286" s="241"/>
      <c r="D286" s="239"/>
      <c r="E286" s="239"/>
      <c r="F286" s="239"/>
      <c r="G286" s="239"/>
      <c r="H286" s="239"/>
      <c r="I286" s="239"/>
      <c r="J286" s="239"/>
      <c r="K286" s="239"/>
      <c r="L286" s="239"/>
      <c r="M286" s="239"/>
      <c r="N286" s="239"/>
      <c r="O286" s="240"/>
      <c r="P286" s="242"/>
      <c r="Q286" s="242"/>
      <c r="R286" s="242"/>
      <c r="S286" s="242"/>
      <c r="T286" s="242"/>
      <c r="U286" s="242"/>
      <c r="V286" s="242"/>
      <c r="W286" s="242"/>
      <c r="X286" s="242"/>
      <c r="Y286" s="242"/>
      <c r="Z286" s="242"/>
      <c r="AA286" s="231"/>
    </row>
    <row r="287" spans="1:27" s="229" customFormat="1">
      <c r="A287" s="239"/>
      <c r="B287" s="240"/>
      <c r="C287" s="241"/>
      <c r="D287" s="239"/>
      <c r="E287" s="239"/>
      <c r="F287" s="239"/>
      <c r="G287" s="239"/>
      <c r="H287" s="239"/>
      <c r="I287" s="239"/>
      <c r="J287" s="239"/>
      <c r="K287" s="239"/>
      <c r="L287" s="239"/>
      <c r="M287" s="239"/>
      <c r="N287" s="239"/>
      <c r="O287" s="240"/>
      <c r="P287" s="242"/>
      <c r="Q287" s="242"/>
      <c r="R287" s="242"/>
      <c r="S287" s="242"/>
      <c r="T287" s="242"/>
      <c r="U287" s="242"/>
      <c r="V287" s="242"/>
      <c r="W287" s="242"/>
      <c r="X287" s="242"/>
      <c r="Y287" s="242"/>
      <c r="Z287" s="242"/>
      <c r="AA287" s="231"/>
    </row>
    <row r="288" spans="1:27" s="229" customFormat="1">
      <c r="A288" s="239"/>
      <c r="B288" s="240"/>
      <c r="C288" s="241"/>
      <c r="D288" s="239"/>
      <c r="E288" s="239"/>
      <c r="F288" s="239"/>
      <c r="G288" s="239"/>
      <c r="H288" s="239"/>
      <c r="I288" s="239"/>
      <c r="J288" s="239"/>
      <c r="K288" s="239"/>
      <c r="L288" s="239"/>
      <c r="M288" s="239"/>
      <c r="N288" s="239"/>
      <c r="O288" s="240"/>
      <c r="P288" s="242"/>
      <c r="Q288" s="242"/>
      <c r="R288" s="242"/>
      <c r="S288" s="242"/>
      <c r="T288" s="242"/>
      <c r="U288" s="242"/>
      <c r="V288" s="242"/>
      <c r="W288" s="242"/>
      <c r="X288" s="242"/>
      <c r="Y288" s="242"/>
      <c r="Z288" s="242"/>
      <c r="AA288" s="231"/>
    </row>
    <row r="289" spans="1:27" s="229" customFormat="1">
      <c r="A289" s="239"/>
      <c r="B289" s="240"/>
      <c r="C289" s="241"/>
      <c r="D289" s="239"/>
      <c r="E289" s="239"/>
      <c r="F289" s="239"/>
      <c r="G289" s="239"/>
      <c r="H289" s="239"/>
      <c r="I289" s="239"/>
      <c r="J289" s="239"/>
      <c r="K289" s="239"/>
      <c r="L289" s="239"/>
      <c r="M289" s="239"/>
      <c r="N289" s="239"/>
      <c r="O289" s="240"/>
      <c r="P289" s="242"/>
      <c r="Q289" s="242"/>
      <c r="R289" s="242"/>
      <c r="S289" s="242"/>
      <c r="T289" s="242"/>
      <c r="U289" s="242"/>
      <c r="V289" s="242"/>
      <c r="W289" s="242"/>
      <c r="X289" s="242"/>
      <c r="Y289" s="242"/>
      <c r="Z289" s="242"/>
      <c r="AA289" s="231"/>
    </row>
    <row r="290" spans="1:27" s="229" customFormat="1">
      <c r="A290" s="239"/>
      <c r="B290" s="240"/>
      <c r="C290" s="241"/>
      <c r="D290" s="239"/>
      <c r="E290" s="239"/>
      <c r="F290" s="239"/>
      <c r="G290" s="239"/>
      <c r="H290" s="239"/>
      <c r="I290" s="239"/>
      <c r="J290" s="239"/>
      <c r="K290" s="239"/>
      <c r="L290" s="239"/>
      <c r="M290" s="239"/>
      <c r="N290" s="239"/>
      <c r="O290" s="240"/>
      <c r="P290" s="242"/>
      <c r="Q290" s="242"/>
      <c r="R290" s="242"/>
      <c r="S290" s="242"/>
      <c r="T290" s="242"/>
      <c r="U290" s="242"/>
      <c r="V290" s="242"/>
      <c r="W290" s="242"/>
      <c r="X290" s="242"/>
      <c r="Y290" s="242"/>
      <c r="Z290" s="242"/>
      <c r="AA290" s="231"/>
    </row>
    <row r="291" spans="1:27" s="229" customFormat="1">
      <c r="A291" s="239"/>
      <c r="B291" s="240"/>
      <c r="C291" s="241"/>
      <c r="D291" s="239"/>
      <c r="E291" s="239"/>
      <c r="F291" s="239"/>
      <c r="G291" s="239"/>
      <c r="H291" s="239"/>
      <c r="I291" s="239"/>
      <c r="J291" s="239"/>
      <c r="K291" s="239"/>
      <c r="L291" s="239"/>
      <c r="M291" s="239"/>
      <c r="N291" s="239"/>
      <c r="O291" s="240"/>
      <c r="P291" s="242"/>
      <c r="Q291" s="242"/>
      <c r="R291" s="242"/>
      <c r="S291" s="242"/>
      <c r="T291" s="242"/>
      <c r="U291" s="242"/>
      <c r="V291" s="242"/>
      <c r="W291" s="242"/>
      <c r="X291" s="242"/>
      <c r="Y291" s="242"/>
      <c r="Z291" s="242"/>
      <c r="AA291" s="231"/>
    </row>
    <row r="292" spans="1:27" s="229" customFormat="1">
      <c r="A292" s="239"/>
      <c r="B292" s="240"/>
      <c r="C292" s="241"/>
      <c r="D292" s="239"/>
      <c r="E292" s="239"/>
      <c r="F292" s="239"/>
      <c r="G292" s="239"/>
      <c r="H292" s="239"/>
      <c r="I292" s="239"/>
      <c r="J292" s="239"/>
      <c r="K292" s="239"/>
      <c r="L292" s="239"/>
      <c r="M292" s="239"/>
      <c r="N292" s="239"/>
      <c r="O292" s="240"/>
      <c r="P292" s="242"/>
      <c r="Q292" s="242"/>
      <c r="R292" s="242"/>
      <c r="S292" s="242"/>
      <c r="T292" s="242"/>
      <c r="U292" s="242"/>
      <c r="V292" s="242"/>
      <c r="W292" s="242"/>
      <c r="X292" s="242"/>
      <c r="Y292" s="242"/>
      <c r="Z292" s="242"/>
      <c r="AA292" s="231"/>
    </row>
    <row r="293" spans="1:27" s="229" customFormat="1">
      <c r="A293" s="239"/>
      <c r="B293" s="240"/>
      <c r="C293" s="241"/>
      <c r="D293" s="239"/>
      <c r="E293" s="239"/>
      <c r="F293" s="239"/>
      <c r="G293" s="239"/>
      <c r="H293" s="239"/>
      <c r="I293" s="239"/>
      <c r="J293" s="239"/>
      <c r="K293" s="239"/>
      <c r="L293" s="239"/>
      <c r="M293" s="239"/>
      <c r="N293" s="239"/>
      <c r="O293" s="240"/>
      <c r="P293" s="242"/>
      <c r="Q293" s="242"/>
      <c r="R293" s="242"/>
      <c r="S293" s="242"/>
      <c r="T293" s="242"/>
      <c r="U293" s="242"/>
      <c r="V293" s="242"/>
      <c r="W293" s="242"/>
      <c r="X293" s="242"/>
      <c r="Y293" s="242"/>
      <c r="Z293" s="242"/>
      <c r="AA293" s="231"/>
    </row>
    <row r="294" spans="1:27" s="229" customFormat="1">
      <c r="A294" s="239"/>
      <c r="B294" s="240"/>
      <c r="C294" s="241"/>
      <c r="D294" s="239"/>
      <c r="E294" s="239"/>
      <c r="F294" s="239"/>
      <c r="G294" s="239"/>
      <c r="H294" s="239"/>
      <c r="I294" s="239"/>
      <c r="J294" s="239"/>
      <c r="K294" s="239"/>
      <c r="L294" s="239"/>
      <c r="M294" s="239"/>
      <c r="N294" s="239"/>
      <c r="O294" s="240"/>
      <c r="P294" s="242"/>
      <c r="Q294" s="242"/>
      <c r="R294" s="242"/>
      <c r="S294" s="242"/>
      <c r="T294" s="242"/>
      <c r="U294" s="242"/>
      <c r="V294" s="242"/>
      <c r="W294" s="242"/>
      <c r="X294" s="242"/>
      <c r="Y294" s="242"/>
      <c r="Z294" s="242"/>
      <c r="AA294" s="231"/>
    </row>
    <row r="295" spans="1:27" s="229" customFormat="1">
      <c r="A295" s="239"/>
      <c r="B295" s="240"/>
      <c r="C295" s="241"/>
      <c r="D295" s="239"/>
      <c r="E295" s="239"/>
      <c r="F295" s="239"/>
      <c r="G295" s="239"/>
      <c r="H295" s="239"/>
      <c r="I295" s="239"/>
      <c r="J295" s="239"/>
      <c r="K295" s="239"/>
      <c r="L295" s="239"/>
      <c r="M295" s="239"/>
      <c r="N295" s="239"/>
      <c r="O295" s="240"/>
      <c r="P295" s="242"/>
      <c r="Q295" s="242"/>
      <c r="R295" s="242"/>
      <c r="S295" s="242"/>
      <c r="T295" s="242"/>
      <c r="U295" s="242"/>
      <c r="V295" s="242"/>
      <c r="W295" s="242"/>
      <c r="X295" s="242"/>
      <c r="Y295" s="242"/>
      <c r="Z295" s="242"/>
      <c r="AA295" s="231"/>
    </row>
    <row r="296" spans="1:27" s="229" customFormat="1">
      <c r="A296" s="239"/>
      <c r="B296" s="240"/>
      <c r="C296" s="241"/>
      <c r="D296" s="239"/>
      <c r="E296" s="239"/>
      <c r="F296" s="239"/>
      <c r="G296" s="239"/>
      <c r="H296" s="239"/>
      <c r="I296" s="239"/>
      <c r="J296" s="239"/>
      <c r="K296" s="239"/>
      <c r="L296" s="239"/>
      <c r="M296" s="239"/>
      <c r="N296" s="239"/>
      <c r="O296" s="240"/>
      <c r="P296" s="242"/>
      <c r="Q296" s="242"/>
      <c r="R296" s="242"/>
      <c r="S296" s="242"/>
      <c r="T296" s="242"/>
      <c r="U296" s="242"/>
      <c r="V296" s="242"/>
      <c r="W296" s="242"/>
      <c r="X296" s="242"/>
      <c r="Y296" s="242"/>
      <c r="Z296" s="242"/>
      <c r="AA296" s="231"/>
    </row>
    <row r="297" spans="1:27" s="229" customFormat="1">
      <c r="A297" s="239"/>
      <c r="B297" s="240"/>
      <c r="C297" s="241"/>
      <c r="D297" s="239"/>
      <c r="E297" s="239"/>
      <c r="F297" s="239"/>
      <c r="G297" s="239"/>
      <c r="H297" s="239"/>
      <c r="I297" s="239"/>
      <c r="J297" s="239"/>
      <c r="K297" s="239"/>
      <c r="L297" s="239"/>
      <c r="M297" s="239"/>
      <c r="N297" s="239"/>
      <c r="O297" s="240"/>
      <c r="P297" s="242"/>
      <c r="Q297" s="242"/>
      <c r="R297" s="242"/>
      <c r="S297" s="242"/>
      <c r="T297" s="242"/>
      <c r="U297" s="242"/>
      <c r="V297" s="242"/>
      <c r="W297" s="242"/>
      <c r="X297" s="242"/>
      <c r="Y297" s="242"/>
      <c r="Z297" s="242"/>
      <c r="AA297" s="231"/>
    </row>
    <row r="298" spans="1:27" s="229" customFormat="1">
      <c r="A298" s="239"/>
      <c r="B298" s="240"/>
      <c r="C298" s="241"/>
      <c r="D298" s="239"/>
      <c r="E298" s="239"/>
      <c r="F298" s="239"/>
      <c r="G298" s="239"/>
      <c r="H298" s="239"/>
      <c r="I298" s="239"/>
      <c r="J298" s="239"/>
      <c r="K298" s="239"/>
      <c r="L298" s="239"/>
      <c r="M298" s="239"/>
      <c r="N298" s="239"/>
      <c r="O298" s="240"/>
      <c r="P298" s="242"/>
      <c r="Q298" s="242"/>
      <c r="R298" s="242"/>
      <c r="S298" s="242"/>
      <c r="T298" s="242"/>
      <c r="U298" s="242"/>
      <c r="V298" s="242"/>
      <c r="W298" s="242"/>
      <c r="X298" s="242"/>
      <c r="Y298" s="242"/>
      <c r="Z298" s="242"/>
      <c r="AA298" s="231"/>
    </row>
    <row r="299" spans="1:27" s="229" customFormat="1">
      <c r="A299" s="239"/>
      <c r="B299" s="240"/>
      <c r="C299" s="241"/>
      <c r="D299" s="239"/>
      <c r="E299" s="239"/>
      <c r="F299" s="239"/>
      <c r="G299" s="239"/>
      <c r="H299" s="239"/>
      <c r="I299" s="239"/>
      <c r="J299" s="239"/>
      <c r="K299" s="239"/>
      <c r="L299" s="239"/>
      <c r="M299" s="239"/>
      <c r="N299" s="239"/>
      <c r="O299" s="240"/>
      <c r="P299" s="242"/>
      <c r="Q299" s="242"/>
      <c r="R299" s="242"/>
      <c r="S299" s="242"/>
      <c r="T299" s="242"/>
      <c r="U299" s="242"/>
      <c r="V299" s="242"/>
      <c r="W299" s="242"/>
      <c r="X299" s="242"/>
      <c r="Y299" s="242"/>
      <c r="Z299" s="242"/>
      <c r="AA299" s="231"/>
    </row>
    <row r="300" spans="1:27" s="141" customFormat="1">
      <c r="A300" s="239"/>
      <c r="B300" s="240"/>
      <c r="C300" s="241"/>
      <c r="D300" s="239"/>
      <c r="E300" s="239"/>
      <c r="F300" s="239"/>
      <c r="G300" s="239"/>
      <c r="H300" s="239"/>
      <c r="I300" s="239"/>
      <c r="J300" s="239"/>
      <c r="K300" s="239"/>
      <c r="L300" s="239"/>
      <c r="M300" s="239"/>
      <c r="N300" s="239"/>
      <c r="O300" s="240"/>
      <c r="P300" s="242"/>
      <c r="Q300" s="242"/>
      <c r="R300" s="242"/>
      <c r="S300" s="242"/>
      <c r="T300" s="242"/>
      <c r="U300" s="242"/>
      <c r="V300" s="242"/>
      <c r="W300" s="242"/>
      <c r="X300" s="242"/>
      <c r="Y300" s="242"/>
      <c r="Z300" s="242"/>
      <c r="AA300" s="231"/>
    </row>
    <row r="301" spans="1:27" s="141" customFormat="1">
      <c r="A301" s="239"/>
      <c r="B301" s="240"/>
      <c r="C301" s="241"/>
      <c r="D301" s="239"/>
      <c r="E301" s="239"/>
      <c r="F301" s="239"/>
      <c r="G301" s="239"/>
      <c r="H301" s="239"/>
      <c r="I301" s="239"/>
      <c r="J301" s="239"/>
      <c r="K301" s="239"/>
      <c r="L301" s="239"/>
      <c r="M301" s="239"/>
      <c r="N301" s="239"/>
      <c r="O301" s="240"/>
      <c r="P301" s="242"/>
      <c r="Q301" s="242"/>
      <c r="R301" s="242"/>
      <c r="S301" s="242"/>
      <c r="T301" s="242"/>
      <c r="U301" s="242"/>
      <c r="V301" s="242"/>
      <c r="W301" s="242"/>
      <c r="X301" s="242"/>
      <c r="Y301" s="242"/>
      <c r="Z301" s="242"/>
      <c r="AA301" s="231"/>
    </row>
    <row r="302" spans="1:27" s="141" customFormat="1">
      <c r="A302" s="239"/>
      <c r="B302" s="240"/>
      <c r="C302" s="241"/>
      <c r="D302" s="239"/>
      <c r="E302" s="239"/>
      <c r="F302" s="239"/>
      <c r="G302" s="239"/>
      <c r="H302" s="239"/>
      <c r="I302" s="239"/>
      <c r="J302" s="239"/>
      <c r="K302" s="239"/>
      <c r="L302" s="239"/>
      <c r="M302" s="239"/>
      <c r="N302" s="239"/>
      <c r="O302" s="240"/>
      <c r="P302" s="242"/>
      <c r="Q302" s="242"/>
      <c r="R302" s="242"/>
      <c r="S302" s="242"/>
      <c r="T302" s="242"/>
      <c r="U302" s="242"/>
      <c r="V302" s="242"/>
      <c r="W302" s="242"/>
      <c r="X302" s="242"/>
      <c r="Y302" s="242"/>
      <c r="Z302" s="242"/>
      <c r="AA302" s="231"/>
    </row>
    <row r="303" spans="1:27" s="141" customFormat="1">
      <c r="A303" s="239"/>
      <c r="B303" s="240"/>
      <c r="C303" s="241"/>
      <c r="D303" s="239"/>
      <c r="E303" s="239"/>
      <c r="F303" s="239"/>
      <c r="G303" s="239"/>
      <c r="H303" s="239"/>
      <c r="I303" s="239"/>
      <c r="J303" s="239"/>
      <c r="K303" s="239"/>
      <c r="L303" s="239"/>
      <c r="M303" s="239"/>
      <c r="N303" s="239"/>
      <c r="O303" s="240"/>
      <c r="P303" s="242"/>
      <c r="Q303" s="242"/>
      <c r="R303" s="242"/>
      <c r="S303" s="242"/>
      <c r="T303" s="242"/>
      <c r="U303" s="242"/>
      <c r="V303" s="242"/>
      <c r="W303" s="242"/>
      <c r="X303" s="242"/>
      <c r="Y303" s="242"/>
      <c r="Z303" s="242"/>
      <c r="AA303" s="231"/>
    </row>
    <row r="304" spans="1:27" s="141" customFormat="1">
      <c r="A304" s="239"/>
      <c r="B304" s="240"/>
      <c r="C304" s="241"/>
      <c r="D304" s="239"/>
      <c r="E304" s="239"/>
      <c r="F304" s="239"/>
      <c r="G304" s="239"/>
      <c r="H304" s="239"/>
      <c r="I304" s="239"/>
      <c r="J304" s="239"/>
      <c r="K304" s="239"/>
      <c r="L304" s="239"/>
      <c r="M304" s="239"/>
      <c r="N304" s="239"/>
      <c r="O304" s="240"/>
      <c r="P304" s="242"/>
      <c r="Q304" s="242"/>
      <c r="R304" s="242"/>
      <c r="S304" s="242"/>
      <c r="T304" s="242"/>
      <c r="U304" s="242"/>
      <c r="V304" s="242"/>
      <c r="W304" s="242"/>
      <c r="X304" s="242"/>
      <c r="Y304" s="242"/>
      <c r="Z304" s="242"/>
      <c r="AA304" s="231"/>
    </row>
    <row r="305" spans="1:27" s="141" customFormat="1">
      <c r="A305" s="239"/>
      <c r="B305" s="240"/>
      <c r="C305" s="241"/>
      <c r="D305" s="239"/>
      <c r="E305" s="239"/>
      <c r="F305" s="239"/>
      <c r="G305" s="239"/>
      <c r="H305" s="239"/>
      <c r="I305" s="239"/>
      <c r="J305" s="239"/>
      <c r="K305" s="239"/>
      <c r="L305" s="239"/>
      <c r="M305" s="239"/>
      <c r="N305" s="239"/>
      <c r="O305" s="240"/>
      <c r="P305" s="242"/>
      <c r="Q305" s="242"/>
      <c r="R305" s="242"/>
      <c r="S305" s="242"/>
      <c r="T305" s="242"/>
      <c r="U305" s="242"/>
      <c r="V305" s="242"/>
      <c r="W305" s="242"/>
      <c r="X305" s="242"/>
      <c r="Y305" s="242"/>
      <c r="Z305" s="242"/>
      <c r="AA305" s="231"/>
    </row>
    <row r="306" spans="1:27" s="141" customFormat="1">
      <c r="A306" s="239"/>
      <c r="B306" s="240"/>
      <c r="C306" s="241"/>
      <c r="D306" s="239"/>
      <c r="E306" s="239"/>
      <c r="F306" s="239"/>
      <c r="G306" s="239"/>
      <c r="H306" s="239"/>
      <c r="I306" s="239"/>
      <c r="J306" s="239"/>
      <c r="K306" s="239"/>
      <c r="L306" s="239"/>
      <c r="M306" s="239"/>
      <c r="N306" s="239"/>
      <c r="O306" s="240"/>
      <c r="P306" s="242"/>
      <c r="Q306" s="242"/>
      <c r="R306" s="242"/>
      <c r="S306" s="242"/>
      <c r="T306" s="242"/>
      <c r="U306" s="242"/>
      <c r="V306" s="242"/>
      <c r="W306" s="242"/>
      <c r="X306" s="242"/>
      <c r="Y306" s="242"/>
      <c r="Z306" s="242"/>
      <c r="AA306" s="231"/>
    </row>
    <row r="307" spans="1:27" s="141" customFormat="1">
      <c r="A307" s="239"/>
      <c r="B307" s="240"/>
      <c r="C307" s="241"/>
      <c r="D307" s="239"/>
      <c r="E307" s="239"/>
      <c r="F307" s="239"/>
      <c r="G307" s="239"/>
      <c r="H307" s="239"/>
      <c r="I307" s="239"/>
      <c r="J307" s="239"/>
      <c r="K307" s="239"/>
      <c r="L307" s="239"/>
      <c r="M307" s="239"/>
      <c r="N307" s="239"/>
      <c r="O307" s="240"/>
      <c r="P307" s="242"/>
      <c r="Q307" s="242"/>
      <c r="R307" s="242"/>
      <c r="S307" s="242"/>
      <c r="T307" s="242"/>
      <c r="U307" s="242"/>
      <c r="V307" s="242"/>
      <c r="W307" s="242"/>
      <c r="X307" s="242"/>
      <c r="Y307" s="242"/>
      <c r="Z307" s="242"/>
      <c r="AA307" s="231"/>
    </row>
    <row r="308" spans="1:27" s="141" customFormat="1">
      <c r="A308" s="239"/>
      <c r="B308" s="240"/>
      <c r="C308" s="241"/>
      <c r="D308" s="239"/>
      <c r="E308" s="239"/>
      <c r="F308" s="239"/>
      <c r="G308" s="239"/>
      <c r="H308" s="239"/>
      <c r="I308" s="239"/>
      <c r="J308" s="239"/>
      <c r="K308" s="239"/>
      <c r="L308" s="239"/>
      <c r="M308" s="239"/>
      <c r="N308" s="239"/>
      <c r="O308" s="240"/>
      <c r="P308" s="242"/>
      <c r="Q308" s="242"/>
      <c r="R308" s="242"/>
      <c r="S308" s="242"/>
      <c r="T308" s="242"/>
      <c r="U308" s="242"/>
      <c r="V308" s="242"/>
      <c r="W308" s="242"/>
      <c r="X308" s="242"/>
      <c r="Y308" s="242"/>
      <c r="Z308" s="242"/>
      <c r="AA308" s="231"/>
    </row>
    <row r="309" spans="1:27" s="141" customFormat="1">
      <c r="A309" s="239"/>
      <c r="B309" s="240"/>
      <c r="C309" s="241"/>
      <c r="D309" s="239"/>
      <c r="E309" s="239"/>
      <c r="F309" s="239"/>
      <c r="G309" s="239"/>
      <c r="H309" s="239"/>
      <c r="I309" s="239"/>
      <c r="J309" s="239"/>
      <c r="K309" s="239"/>
      <c r="L309" s="239"/>
      <c r="M309" s="239"/>
      <c r="N309" s="239"/>
      <c r="O309" s="240"/>
      <c r="P309" s="242"/>
      <c r="Q309" s="242"/>
      <c r="R309" s="242"/>
      <c r="S309" s="242"/>
      <c r="T309" s="242"/>
      <c r="U309" s="242"/>
      <c r="V309" s="242"/>
      <c r="W309" s="242"/>
      <c r="X309" s="242"/>
      <c r="Y309" s="242"/>
      <c r="Z309" s="242"/>
      <c r="AA309" s="231"/>
    </row>
    <row r="310" spans="1:27" s="141" customFormat="1">
      <c r="A310" s="239"/>
      <c r="B310" s="240"/>
      <c r="C310" s="241"/>
      <c r="D310" s="239"/>
      <c r="E310" s="239"/>
      <c r="F310" s="239"/>
      <c r="G310" s="239"/>
      <c r="H310" s="239"/>
      <c r="I310" s="239"/>
      <c r="J310" s="239"/>
      <c r="K310" s="239"/>
      <c r="L310" s="239"/>
      <c r="M310" s="239"/>
      <c r="N310" s="239"/>
      <c r="O310" s="240"/>
      <c r="P310" s="242"/>
      <c r="Q310" s="242"/>
      <c r="R310" s="242"/>
      <c r="S310" s="242"/>
      <c r="T310" s="242"/>
      <c r="U310" s="242"/>
      <c r="V310" s="242"/>
      <c r="W310" s="242"/>
      <c r="X310" s="242"/>
      <c r="Y310" s="242"/>
      <c r="Z310" s="242"/>
      <c r="AA310" s="231"/>
    </row>
    <row r="311" spans="1:27" s="141" customFormat="1">
      <c r="A311" s="239"/>
      <c r="B311" s="240"/>
      <c r="C311" s="241"/>
      <c r="D311" s="239"/>
      <c r="E311" s="239"/>
      <c r="F311" s="239"/>
      <c r="G311" s="239"/>
      <c r="H311" s="239"/>
      <c r="I311" s="239"/>
      <c r="J311" s="239"/>
      <c r="K311" s="239"/>
      <c r="L311" s="239"/>
      <c r="M311" s="239"/>
      <c r="N311" s="239"/>
      <c r="O311" s="240"/>
      <c r="P311" s="242"/>
      <c r="Q311" s="242"/>
      <c r="R311" s="242"/>
      <c r="S311" s="242"/>
      <c r="T311" s="242"/>
      <c r="U311" s="242"/>
      <c r="V311" s="242"/>
      <c r="W311" s="242"/>
      <c r="X311" s="242"/>
      <c r="Y311" s="242"/>
      <c r="Z311" s="242"/>
      <c r="AA311" s="231"/>
    </row>
    <row r="312" spans="1:27" s="141" customFormat="1">
      <c r="A312" s="239"/>
      <c r="B312" s="240"/>
      <c r="C312" s="241"/>
      <c r="D312" s="239"/>
      <c r="E312" s="239"/>
      <c r="F312" s="239"/>
      <c r="G312" s="239"/>
      <c r="H312" s="239"/>
      <c r="I312" s="239"/>
      <c r="J312" s="239"/>
      <c r="K312" s="239"/>
      <c r="L312" s="239"/>
      <c r="M312" s="239"/>
      <c r="N312" s="239"/>
      <c r="O312" s="240"/>
      <c r="P312" s="242"/>
      <c r="Q312" s="242"/>
      <c r="R312" s="242"/>
      <c r="S312" s="242"/>
      <c r="T312" s="242"/>
      <c r="U312" s="242"/>
      <c r="V312" s="242"/>
      <c r="W312" s="242"/>
      <c r="X312" s="242"/>
      <c r="Y312" s="242"/>
      <c r="Z312" s="242"/>
      <c r="AA312" s="231"/>
    </row>
    <row r="313" spans="1:27" s="141" customFormat="1">
      <c r="A313" s="239"/>
      <c r="B313" s="240"/>
      <c r="C313" s="241"/>
      <c r="D313" s="239"/>
      <c r="E313" s="239"/>
      <c r="F313" s="239"/>
      <c r="G313" s="239"/>
      <c r="H313" s="239"/>
      <c r="I313" s="239"/>
      <c r="J313" s="239"/>
      <c r="K313" s="239"/>
      <c r="L313" s="239"/>
      <c r="M313" s="239"/>
      <c r="N313" s="239"/>
      <c r="O313" s="240"/>
      <c r="P313" s="242"/>
      <c r="Q313" s="242"/>
      <c r="R313" s="242"/>
      <c r="S313" s="242"/>
      <c r="T313" s="242"/>
      <c r="U313" s="242"/>
      <c r="V313" s="242"/>
      <c r="W313" s="242"/>
      <c r="X313" s="242"/>
      <c r="Y313" s="242"/>
      <c r="Z313" s="242"/>
      <c r="AA313" s="231"/>
    </row>
    <row r="314" spans="1:27" s="141" customFormat="1">
      <c r="A314" s="239"/>
      <c r="B314" s="240"/>
      <c r="C314" s="241"/>
      <c r="D314" s="239"/>
      <c r="E314" s="239"/>
      <c r="F314" s="239"/>
      <c r="G314" s="239"/>
      <c r="H314" s="239"/>
      <c r="I314" s="239"/>
      <c r="J314" s="239"/>
      <c r="K314" s="239"/>
      <c r="L314" s="239"/>
      <c r="M314" s="239"/>
      <c r="N314" s="239"/>
      <c r="O314" s="240"/>
      <c r="P314" s="242"/>
      <c r="Q314" s="242"/>
      <c r="R314" s="242"/>
      <c r="S314" s="242"/>
      <c r="T314" s="242"/>
      <c r="U314" s="242"/>
      <c r="V314" s="242"/>
      <c r="W314" s="242"/>
      <c r="X314" s="242"/>
      <c r="Y314" s="242"/>
      <c r="Z314" s="242"/>
      <c r="AA314" s="231"/>
    </row>
    <row r="315" spans="1:27" s="141" customFormat="1">
      <c r="A315" s="239"/>
      <c r="B315" s="240"/>
      <c r="C315" s="241"/>
      <c r="D315" s="239"/>
      <c r="E315" s="239"/>
      <c r="F315" s="239"/>
      <c r="G315" s="239"/>
      <c r="H315" s="239"/>
      <c r="I315" s="239"/>
      <c r="J315" s="239"/>
      <c r="K315" s="239"/>
      <c r="L315" s="239"/>
      <c r="M315" s="239"/>
      <c r="N315" s="239"/>
      <c r="O315" s="240"/>
      <c r="P315" s="242"/>
      <c r="Q315" s="242"/>
      <c r="R315" s="242"/>
      <c r="S315" s="242"/>
      <c r="T315" s="242"/>
      <c r="U315" s="242"/>
      <c r="V315" s="242"/>
      <c r="W315" s="242"/>
      <c r="X315" s="242"/>
      <c r="Y315" s="242"/>
      <c r="Z315" s="242"/>
      <c r="AA315" s="231"/>
    </row>
    <row r="316" spans="1:27" s="141" customFormat="1">
      <c r="A316" s="239"/>
      <c r="B316" s="240"/>
      <c r="C316" s="241"/>
      <c r="D316" s="239"/>
      <c r="E316" s="239"/>
      <c r="F316" s="239"/>
      <c r="G316" s="239"/>
      <c r="H316" s="239"/>
      <c r="I316" s="239"/>
      <c r="J316" s="239"/>
      <c r="K316" s="239"/>
      <c r="L316" s="239"/>
      <c r="M316" s="239"/>
      <c r="N316" s="239"/>
      <c r="O316" s="240"/>
      <c r="P316" s="242"/>
      <c r="Q316" s="242"/>
      <c r="R316" s="242"/>
      <c r="S316" s="242"/>
      <c r="T316" s="242"/>
      <c r="U316" s="242"/>
      <c r="V316" s="242"/>
      <c r="W316" s="242"/>
      <c r="X316" s="242"/>
      <c r="Y316" s="242"/>
      <c r="Z316" s="242"/>
      <c r="AA316" s="231"/>
    </row>
    <row r="317" spans="1:27" s="141" customFormat="1">
      <c r="A317" s="239"/>
      <c r="B317" s="240"/>
      <c r="C317" s="241"/>
      <c r="D317" s="239"/>
      <c r="E317" s="239"/>
      <c r="F317" s="239"/>
      <c r="G317" s="239"/>
      <c r="H317" s="239"/>
      <c r="I317" s="239"/>
      <c r="J317" s="239"/>
      <c r="K317" s="239"/>
      <c r="L317" s="239"/>
      <c r="M317" s="239"/>
      <c r="N317" s="239"/>
      <c r="O317" s="240"/>
      <c r="P317" s="242"/>
      <c r="Q317" s="242"/>
      <c r="R317" s="242"/>
      <c r="S317" s="242"/>
      <c r="T317" s="242"/>
      <c r="U317" s="242"/>
      <c r="V317" s="242"/>
      <c r="W317" s="242"/>
      <c r="X317" s="242"/>
      <c r="Y317" s="242"/>
      <c r="Z317" s="242"/>
      <c r="AA317" s="231"/>
    </row>
    <row r="318" spans="1:27" s="141" customFormat="1">
      <c r="A318" s="239"/>
      <c r="B318" s="240"/>
      <c r="C318" s="241"/>
      <c r="D318" s="239"/>
      <c r="E318" s="239"/>
      <c r="F318" s="239"/>
      <c r="G318" s="239"/>
      <c r="H318" s="239"/>
      <c r="I318" s="239"/>
      <c r="J318" s="239"/>
      <c r="K318" s="239"/>
      <c r="L318" s="239"/>
      <c r="M318" s="239"/>
      <c r="N318" s="239"/>
      <c r="O318" s="240"/>
      <c r="P318" s="242"/>
      <c r="Q318" s="242"/>
      <c r="R318" s="242"/>
      <c r="S318" s="242"/>
      <c r="T318" s="242"/>
      <c r="U318" s="242"/>
      <c r="V318" s="242"/>
      <c r="W318" s="242"/>
      <c r="X318" s="242"/>
      <c r="Y318" s="242"/>
      <c r="Z318" s="242"/>
      <c r="AA318" s="231"/>
    </row>
    <row r="319" spans="1:27" s="141" customFormat="1">
      <c r="A319" s="239"/>
      <c r="B319" s="240"/>
      <c r="C319" s="241"/>
      <c r="D319" s="239"/>
      <c r="E319" s="239"/>
      <c r="F319" s="239"/>
      <c r="G319" s="239"/>
      <c r="H319" s="239"/>
      <c r="I319" s="239"/>
      <c r="J319" s="239"/>
      <c r="K319" s="239"/>
      <c r="L319" s="239"/>
      <c r="M319" s="239"/>
      <c r="N319" s="239"/>
      <c r="O319" s="240"/>
      <c r="P319" s="242"/>
      <c r="Q319" s="242"/>
      <c r="R319" s="242"/>
      <c r="S319" s="242"/>
      <c r="T319" s="242"/>
      <c r="U319" s="242"/>
      <c r="V319" s="242"/>
      <c r="W319" s="242"/>
      <c r="X319" s="242"/>
      <c r="Y319" s="242"/>
      <c r="Z319" s="242"/>
      <c r="AA319" s="231"/>
    </row>
    <row r="320" spans="1:27" s="141" customFormat="1">
      <c r="A320" s="239"/>
      <c r="B320" s="240"/>
      <c r="C320" s="241"/>
      <c r="D320" s="239"/>
      <c r="E320" s="239"/>
      <c r="F320" s="239"/>
      <c r="G320" s="239"/>
      <c r="H320" s="239"/>
      <c r="I320" s="239"/>
      <c r="J320" s="239"/>
      <c r="K320" s="239"/>
      <c r="L320" s="239"/>
      <c r="M320" s="239"/>
      <c r="N320" s="239"/>
      <c r="O320" s="240"/>
      <c r="P320" s="242"/>
      <c r="Q320" s="242"/>
      <c r="R320" s="242"/>
      <c r="S320" s="242"/>
      <c r="T320" s="242"/>
      <c r="U320" s="242"/>
      <c r="V320" s="242"/>
      <c r="W320" s="242"/>
      <c r="X320" s="242"/>
      <c r="Y320" s="242"/>
      <c r="Z320" s="242"/>
      <c r="AA320" s="231"/>
    </row>
    <row r="321" spans="1:27" s="141" customFormat="1">
      <c r="A321" s="239"/>
      <c r="B321" s="240"/>
      <c r="C321" s="241"/>
      <c r="D321" s="239"/>
      <c r="E321" s="239"/>
      <c r="F321" s="239"/>
      <c r="G321" s="239"/>
      <c r="H321" s="239"/>
      <c r="I321" s="239"/>
      <c r="J321" s="239"/>
      <c r="K321" s="239"/>
      <c r="L321" s="239"/>
      <c r="M321" s="239"/>
      <c r="N321" s="239"/>
      <c r="O321" s="240"/>
      <c r="P321" s="242"/>
      <c r="Q321" s="242"/>
      <c r="R321" s="242"/>
      <c r="S321" s="242"/>
      <c r="T321" s="242"/>
      <c r="U321" s="242"/>
      <c r="V321" s="242"/>
      <c r="W321" s="242"/>
      <c r="X321" s="242"/>
      <c r="Y321" s="242"/>
      <c r="Z321" s="242"/>
      <c r="AA321" s="231"/>
    </row>
    <row r="322" spans="1:27" s="141" customFormat="1">
      <c r="A322" s="239"/>
      <c r="B322" s="240"/>
      <c r="C322" s="241"/>
      <c r="D322" s="239"/>
      <c r="E322" s="239"/>
      <c r="F322" s="239"/>
      <c r="G322" s="239"/>
      <c r="H322" s="239"/>
      <c r="I322" s="239"/>
      <c r="J322" s="239"/>
      <c r="K322" s="239"/>
      <c r="L322" s="239"/>
      <c r="M322" s="239"/>
      <c r="N322" s="239"/>
      <c r="O322" s="240"/>
      <c r="P322" s="242"/>
      <c r="Q322" s="242"/>
      <c r="R322" s="242"/>
      <c r="S322" s="242"/>
      <c r="T322" s="242"/>
      <c r="U322" s="242"/>
      <c r="V322" s="242"/>
      <c r="W322" s="242"/>
      <c r="X322" s="242"/>
      <c r="Y322" s="242"/>
      <c r="Z322" s="242"/>
      <c r="AA322" s="231"/>
    </row>
    <row r="323" spans="1:27" s="141" customFormat="1">
      <c r="A323" s="239"/>
      <c r="B323" s="240"/>
      <c r="C323" s="241"/>
      <c r="D323" s="239"/>
      <c r="E323" s="239"/>
      <c r="F323" s="239"/>
      <c r="G323" s="239"/>
      <c r="H323" s="239"/>
      <c r="I323" s="239"/>
      <c r="J323" s="239"/>
      <c r="K323" s="239"/>
      <c r="L323" s="239"/>
      <c r="M323" s="239"/>
      <c r="N323" s="239"/>
      <c r="O323" s="240"/>
      <c r="P323" s="242"/>
      <c r="Q323" s="242"/>
      <c r="R323" s="242"/>
      <c r="S323" s="242"/>
      <c r="T323" s="242"/>
      <c r="U323" s="242"/>
      <c r="V323" s="242"/>
      <c r="W323" s="242"/>
      <c r="X323" s="242"/>
      <c r="Y323" s="242"/>
      <c r="Z323" s="242"/>
      <c r="AA323" s="231"/>
    </row>
    <row r="324" spans="1:27" s="141" customFormat="1">
      <c r="A324" s="239"/>
      <c r="B324" s="240"/>
      <c r="C324" s="241"/>
      <c r="D324" s="239"/>
      <c r="E324" s="239"/>
      <c r="F324" s="239"/>
      <c r="G324" s="239"/>
      <c r="H324" s="239"/>
      <c r="I324" s="239"/>
      <c r="J324" s="239"/>
      <c r="K324" s="239"/>
      <c r="L324" s="239"/>
      <c r="M324" s="239"/>
      <c r="N324" s="239"/>
      <c r="O324" s="240"/>
      <c r="P324" s="242"/>
      <c r="Q324" s="242"/>
      <c r="R324" s="242"/>
      <c r="S324" s="242"/>
      <c r="T324" s="242"/>
      <c r="U324" s="242"/>
      <c r="V324" s="242"/>
      <c r="W324" s="242"/>
      <c r="X324" s="242"/>
      <c r="Y324" s="242"/>
      <c r="Z324" s="242"/>
      <c r="AA324" s="231"/>
    </row>
    <row r="325" spans="1:27" s="141" customFormat="1">
      <c r="A325" s="239"/>
      <c r="B325" s="240"/>
      <c r="C325" s="241"/>
      <c r="D325" s="239"/>
      <c r="E325" s="239"/>
      <c r="F325" s="239"/>
      <c r="G325" s="239"/>
      <c r="H325" s="239"/>
      <c r="I325" s="239"/>
      <c r="J325" s="239"/>
      <c r="K325" s="239"/>
      <c r="L325" s="239"/>
      <c r="M325" s="239"/>
      <c r="N325" s="239"/>
      <c r="O325" s="240"/>
      <c r="P325" s="242"/>
      <c r="Q325" s="242"/>
      <c r="R325" s="242"/>
      <c r="S325" s="242"/>
      <c r="T325" s="242"/>
      <c r="U325" s="242"/>
      <c r="V325" s="242"/>
      <c r="W325" s="242"/>
      <c r="X325" s="242"/>
      <c r="Y325" s="242"/>
      <c r="Z325" s="242"/>
      <c r="AA325" s="231"/>
    </row>
    <row r="326" spans="1:27" s="141" customFormat="1">
      <c r="A326" s="239"/>
      <c r="B326" s="240"/>
      <c r="C326" s="241"/>
      <c r="D326" s="239"/>
      <c r="E326" s="239"/>
      <c r="F326" s="239"/>
      <c r="G326" s="239"/>
      <c r="H326" s="239"/>
      <c r="I326" s="239"/>
      <c r="J326" s="239"/>
      <c r="K326" s="239"/>
      <c r="L326" s="239"/>
      <c r="M326" s="239"/>
      <c r="N326" s="239"/>
      <c r="O326" s="240"/>
      <c r="P326" s="242"/>
      <c r="Q326" s="242"/>
      <c r="R326" s="242"/>
      <c r="S326" s="242"/>
      <c r="T326" s="242"/>
      <c r="U326" s="242"/>
      <c r="V326" s="242"/>
      <c r="W326" s="242"/>
      <c r="X326" s="242"/>
      <c r="Y326" s="242"/>
      <c r="Z326" s="242"/>
      <c r="AA326" s="231"/>
    </row>
    <row r="327" spans="1:27" s="141" customFormat="1">
      <c r="A327" s="239"/>
      <c r="B327" s="240"/>
      <c r="C327" s="241"/>
      <c r="D327" s="239"/>
      <c r="E327" s="239"/>
      <c r="F327" s="239"/>
      <c r="G327" s="239"/>
      <c r="H327" s="239"/>
      <c r="I327" s="239"/>
      <c r="J327" s="239"/>
      <c r="K327" s="239"/>
      <c r="L327" s="239"/>
      <c r="M327" s="239"/>
      <c r="N327" s="239"/>
      <c r="O327" s="240"/>
      <c r="P327" s="242"/>
      <c r="Q327" s="242"/>
      <c r="R327" s="242"/>
      <c r="S327" s="242"/>
      <c r="T327" s="242"/>
      <c r="U327" s="242"/>
      <c r="V327" s="242"/>
      <c r="W327" s="242"/>
      <c r="X327" s="242"/>
      <c r="Y327" s="242"/>
      <c r="Z327" s="242"/>
      <c r="AA327" s="231"/>
    </row>
    <row r="328" spans="1:27" s="141" customFormat="1">
      <c r="A328" s="239"/>
      <c r="B328" s="240"/>
      <c r="C328" s="241"/>
      <c r="D328" s="239"/>
      <c r="E328" s="239"/>
      <c r="F328" s="239"/>
      <c r="G328" s="239"/>
      <c r="H328" s="239"/>
      <c r="I328" s="239"/>
      <c r="J328" s="239"/>
      <c r="K328" s="239"/>
      <c r="L328" s="239"/>
      <c r="M328" s="239"/>
      <c r="N328" s="239"/>
      <c r="O328" s="240"/>
      <c r="P328" s="242"/>
      <c r="Q328" s="242"/>
      <c r="R328" s="242"/>
      <c r="S328" s="242"/>
      <c r="T328" s="242"/>
      <c r="U328" s="242"/>
      <c r="V328" s="242"/>
      <c r="W328" s="242"/>
      <c r="X328" s="242"/>
      <c r="Y328" s="242"/>
      <c r="Z328" s="242"/>
      <c r="AA328" s="231"/>
    </row>
    <row r="329" spans="1:27" s="141" customFormat="1">
      <c r="A329" s="239"/>
      <c r="B329" s="240"/>
      <c r="C329" s="241"/>
      <c r="D329" s="239"/>
      <c r="E329" s="239"/>
      <c r="F329" s="239"/>
      <c r="G329" s="239"/>
      <c r="H329" s="239"/>
      <c r="I329" s="239"/>
      <c r="J329" s="239"/>
      <c r="K329" s="239"/>
      <c r="L329" s="239"/>
      <c r="M329" s="239"/>
      <c r="N329" s="239"/>
      <c r="O329" s="240"/>
      <c r="P329" s="242"/>
      <c r="Q329" s="242"/>
      <c r="R329" s="242"/>
      <c r="S329" s="242"/>
      <c r="T329" s="242"/>
      <c r="U329" s="242"/>
      <c r="V329" s="242"/>
      <c r="W329" s="242"/>
      <c r="X329" s="242"/>
      <c r="Y329" s="242"/>
      <c r="Z329" s="242"/>
      <c r="AA329" s="231"/>
    </row>
    <row r="330" spans="1:27" s="141" customFormat="1">
      <c r="A330" s="239"/>
      <c r="B330" s="240"/>
      <c r="C330" s="241"/>
      <c r="D330" s="239"/>
      <c r="E330" s="239"/>
      <c r="F330" s="239"/>
      <c r="G330" s="239"/>
      <c r="H330" s="239"/>
      <c r="I330" s="239"/>
      <c r="J330" s="239"/>
      <c r="K330" s="239"/>
      <c r="L330" s="239"/>
      <c r="M330" s="239"/>
      <c r="N330" s="239"/>
      <c r="O330" s="240"/>
      <c r="P330" s="242"/>
      <c r="Q330" s="242"/>
      <c r="R330" s="242"/>
      <c r="S330" s="242"/>
      <c r="T330" s="242"/>
      <c r="U330" s="242"/>
      <c r="V330" s="242"/>
      <c r="W330" s="242"/>
      <c r="X330" s="242"/>
      <c r="Y330" s="242"/>
      <c r="Z330" s="242"/>
      <c r="AA330" s="231"/>
    </row>
    <row r="331" spans="1:27" s="141" customFormat="1">
      <c r="A331" s="239"/>
      <c r="B331" s="240"/>
      <c r="C331" s="241"/>
      <c r="D331" s="239"/>
      <c r="E331" s="239"/>
      <c r="F331" s="239"/>
      <c r="G331" s="239"/>
      <c r="H331" s="239"/>
      <c r="I331" s="239"/>
      <c r="J331" s="239"/>
      <c r="K331" s="239"/>
      <c r="L331" s="239"/>
      <c r="M331" s="239"/>
      <c r="N331" s="239"/>
      <c r="O331" s="240"/>
      <c r="P331" s="242"/>
      <c r="Q331" s="242"/>
      <c r="R331" s="242"/>
      <c r="S331" s="242"/>
      <c r="T331" s="242"/>
      <c r="U331" s="242"/>
      <c r="V331" s="242"/>
      <c r="W331" s="242"/>
      <c r="X331" s="242"/>
      <c r="Y331" s="242"/>
      <c r="Z331" s="242"/>
      <c r="AA331" s="231"/>
    </row>
    <row r="332" spans="1:27" s="141" customFormat="1">
      <c r="A332" s="239"/>
      <c r="B332" s="240"/>
      <c r="C332" s="241"/>
      <c r="D332" s="239"/>
      <c r="E332" s="239"/>
      <c r="F332" s="239"/>
      <c r="G332" s="239"/>
      <c r="H332" s="239"/>
      <c r="I332" s="239"/>
      <c r="J332" s="239"/>
      <c r="K332" s="239"/>
      <c r="L332" s="239"/>
      <c r="M332" s="239"/>
      <c r="N332" s="239"/>
      <c r="O332" s="240"/>
      <c r="P332" s="242"/>
      <c r="Q332" s="242"/>
      <c r="R332" s="242"/>
      <c r="S332" s="242"/>
      <c r="T332" s="242"/>
      <c r="U332" s="242"/>
      <c r="V332" s="242"/>
      <c r="W332" s="242"/>
      <c r="X332" s="242"/>
      <c r="Y332" s="242"/>
      <c r="Z332" s="242"/>
      <c r="AA332" s="231"/>
    </row>
    <row r="333" spans="1:27" s="141" customFormat="1">
      <c r="A333" s="239"/>
      <c r="B333" s="240"/>
      <c r="C333" s="241"/>
      <c r="D333" s="239"/>
      <c r="E333" s="239"/>
      <c r="F333" s="239"/>
      <c r="G333" s="239"/>
      <c r="H333" s="239"/>
      <c r="I333" s="239"/>
      <c r="J333" s="239"/>
      <c r="K333" s="239"/>
      <c r="L333" s="239"/>
      <c r="M333" s="239"/>
      <c r="N333" s="239"/>
      <c r="O333" s="240"/>
      <c r="P333" s="242"/>
      <c r="Q333" s="242"/>
      <c r="R333" s="242"/>
      <c r="S333" s="242"/>
      <c r="T333" s="242"/>
      <c r="U333" s="242"/>
      <c r="V333" s="242"/>
      <c r="W333" s="242"/>
      <c r="X333" s="242"/>
      <c r="Y333" s="242"/>
      <c r="Z333" s="242"/>
      <c r="AA333" s="231"/>
    </row>
    <row r="334" spans="1:27" s="141" customFormat="1">
      <c r="A334" s="239"/>
      <c r="B334" s="240"/>
      <c r="C334" s="241"/>
      <c r="D334" s="239"/>
      <c r="E334" s="239"/>
      <c r="F334" s="239"/>
      <c r="G334" s="239"/>
      <c r="H334" s="239"/>
      <c r="I334" s="239"/>
      <c r="J334" s="239"/>
      <c r="K334" s="239"/>
      <c r="L334" s="239"/>
      <c r="M334" s="239"/>
      <c r="N334" s="239"/>
      <c r="O334" s="240"/>
      <c r="P334" s="242"/>
      <c r="Q334" s="242"/>
      <c r="R334" s="242"/>
      <c r="S334" s="242"/>
      <c r="T334" s="242"/>
      <c r="U334" s="242"/>
      <c r="V334" s="242"/>
      <c r="W334" s="242"/>
      <c r="X334" s="242"/>
      <c r="Y334" s="242"/>
      <c r="Z334" s="242"/>
      <c r="AA334" s="231"/>
    </row>
    <row r="335" spans="1:27" s="141" customFormat="1">
      <c r="A335" s="239"/>
      <c r="B335" s="240"/>
      <c r="C335" s="241"/>
      <c r="D335" s="239"/>
      <c r="E335" s="239"/>
      <c r="F335" s="239"/>
      <c r="G335" s="239"/>
      <c r="H335" s="239"/>
      <c r="I335" s="239"/>
      <c r="J335" s="239"/>
      <c r="K335" s="239"/>
      <c r="L335" s="239"/>
      <c r="M335" s="239"/>
      <c r="N335" s="239"/>
      <c r="O335" s="240"/>
      <c r="P335" s="242"/>
      <c r="Q335" s="242"/>
      <c r="R335" s="242"/>
      <c r="S335" s="242"/>
      <c r="T335" s="242"/>
      <c r="U335" s="242"/>
      <c r="V335" s="242"/>
      <c r="W335" s="242"/>
      <c r="X335" s="242"/>
      <c r="Y335" s="242"/>
      <c r="Z335" s="242"/>
      <c r="AA335" s="231"/>
    </row>
    <row r="336" spans="1:27" s="141" customFormat="1">
      <c r="A336" s="239"/>
      <c r="B336" s="240"/>
      <c r="C336" s="241"/>
      <c r="D336" s="239"/>
      <c r="E336" s="239"/>
      <c r="F336" s="239"/>
      <c r="G336" s="239"/>
      <c r="H336" s="239"/>
      <c r="I336" s="239"/>
      <c r="J336" s="239"/>
      <c r="K336" s="239"/>
      <c r="L336" s="239"/>
      <c r="M336" s="239"/>
      <c r="N336" s="239"/>
      <c r="O336" s="240"/>
      <c r="P336" s="242"/>
      <c r="Q336" s="242"/>
      <c r="R336" s="242"/>
      <c r="S336" s="242"/>
      <c r="T336" s="242"/>
      <c r="U336" s="242"/>
      <c r="V336" s="242"/>
      <c r="W336" s="242"/>
      <c r="X336" s="242"/>
      <c r="Y336" s="242"/>
      <c r="Z336" s="242"/>
      <c r="AA336" s="231"/>
    </row>
    <row r="337" spans="1:27" s="141" customFormat="1">
      <c r="A337" s="239"/>
      <c r="B337" s="240"/>
      <c r="C337" s="241"/>
      <c r="D337" s="239"/>
      <c r="E337" s="239"/>
      <c r="F337" s="239"/>
      <c r="G337" s="239"/>
      <c r="H337" s="239"/>
      <c r="I337" s="239"/>
      <c r="J337" s="239"/>
      <c r="K337" s="239"/>
      <c r="L337" s="239"/>
      <c r="M337" s="239"/>
      <c r="N337" s="239"/>
      <c r="O337" s="240"/>
      <c r="P337" s="242"/>
      <c r="Q337" s="242"/>
      <c r="R337" s="242"/>
      <c r="S337" s="242"/>
      <c r="T337" s="242"/>
      <c r="U337" s="242"/>
      <c r="V337" s="242"/>
      <c r="W337" s="242"/>
      <c r="X337" s="242"/>
      <c r="Y337" s="242"/>
      <c r="Z337" s="242"/>
      <c r="AA337" s="231"/>
    </row>
    <row r="338" spans="1:27" s="141" customFormat="1">
      <c r="A338" s="239"/>
      <c r="B338" s="240"/>
      <c r="C338" s="241"/>
      <c r="D338" s="239"/>
      <c r="E338" s="239"/>
      <c r="F338" s="239"/>
      <c r="G338" s="239"/>
      <c r="H338" s="239"/>
      <c r="I338" s="239"/>
      <c r="J338" s="239"/>
      <c r="K338" s="239"/>
      <c r="L338" s="239"/>
      <c r="M338" s="239"/>
      <c r="N338" s="239"/>
      <c r="O338" s="240"/>
      <c r="P338" s="242"/>
      <c r="Q338" s="242"/>
      <c r="R338" s="242"/>
      <c r="S338" s="242"/>
      <c r="T338" s="242"/>
      <c r="U338" s="242"/>
      <c r="V338" s="242"/>
      <c r="W338" s="242"/>
      <c r="X338" s="242"/>
      <c r="Y338" s="242"/>
      <c r="Z338" s="242"/>
      <c r="AA338" s="231"/>
    </row>
    <row r="339" spans="1:27" s="141" customFormat="1">
      <c r="A339" s="239"/>
      <c r="B339" s="240"/>
      <c r="C339" s="241"/>
      <c r="D339" s="239"/>
      <c r="E339" s="239"/>
      <c r="F339" s="239"/>
      <c r="G339" s="239"/>
      <c r="H339" s="239"/>
      <c r="I339" s="239"/>
      <c r="J339" s="239"/>
      <c r="K339" s="239"/>
      <c r="L339" s="239"/>
      <c r="M339" s="239"/>
      <c r="N339" s="239"/>
      <c r="O339" s="240"/>
      <c r="P339" s="242"/>
      <c r="Q339" s="242"/>
      <c r="R339" s="242"/>
      <c r="S339" s="242"/>
      <c r="T339" s="242"/>
      <c r="U339" s="242"/>
      <c r="V339" s="242"/>
      <c r="W339" s="242"/>
      <c r="X339" s="242"/>
      <c r="Y339" s="242"/>
      <c r="Z339" s="242"/>
      <c r="AA339" s="231"/>
    </row>
    <row r="340" spans="1:27" s="141" customFormat="1">
      <c r="A340" s="239"/>
      <c r="B340" s="240"/>
      <c r="C340" s="241"/>
      <c r="D340" s="239"/>
      <c r="E340" s="239"/>
      <c r="F340" s="239"/>
      <c r="G340" s="239"/>
      <c r="H340" s="239"/>
      <c r="I340" s="239"/>
      <c r="J340" s="239"/>
      <c r="K340" s="239"/>
      <c r="L340" s="239"/>
      <c r="M340" s="239"/>
      <c r="N340" s="239"/>
      <c r="O340" s="240"/>
      <c r="P340" s="242"/>
      <c r="Q340" s="242"/>
      <c r="R340" s="242"/>
      <c r="S340" s="242"/>
      <c r="T340" s="242"/>
      <c r="U340" s="242"/>
      <c r="V340" s="242"/>
      <c r="W340" s="242"/>
      <c r="X340" s="242"/>
      <c r="Y340" s="242"/>
      <c r="Z340" s="242"/>
      <c r="AA340" s="231"/>
    </row>
    <row r="341" spans="1:27" s="141" customFormat="1">
      <c r="A341" s="239"/>
      <c r="B341" s="240"/>
      <c r="C341" s="241"/>
      <c r="D341" s="239"/>
      <c r="E341" s="239"/>
      <c r="F341" s="239"/>
      <c r="G341" s="239"/>
      <c r="H341" s="239"/>
      <c r="I341" s="239"/>
      <c r="J341" s="239"/>
      <c r="K341" s="239"/>
      <c r="L341" s="239"/>
      <c r="M341" s="239"/>
      <c r="N341" s="239"/>
      <c r="O341" s="240"/>
      <c r="P341" s="242"/>
      <c r="Q341" s="242"/>
      <c r="R341" s="242"/>
      <c r="S341" s="242"/>
      <c r="T341" s="242"/>
      <c r="U341" s="242"/>
      <c r="V341" s="242"/>
      <c r="W341" s="242"/>
      <c r="X341" s="242"/>
      <c r="Y341" s="242"/>
      <c r="Z341" s="242"/>
      <c r="AA341" s="231"/>
    </row>
    <row r="342" spans="1:27" s="141" customFormat="1">
      <c r="A342" s="239"/>
      <c r="B342" s="240"/>
      <c r="C342" s="241"/>
      <c r="D342" s="239"/>
      <c r="E342" s="239"/>
      <c r="F342" s="239"/>
      <c r="G342" s="239"/>
      <c r="H342" s="239"/>
      <c r="I342" s="239"/>
      <c r="J342" s="239"/>
      <c r="K342" s="239"/>
      <c r="L342" s="239"/>
      <c r="M342" s="239"/>
      <c r="N342" s="239"/>
      <c r="O342" s="240"/>
      <c r="P342" s="242"/>
      <c r="Q342" s="242"/>
      <c r="R342" s="242"/>
      <c r="S342" s="242"/>
      <c r="T342" s="242"/>
      <c r="U342" s="242"/>
      <c r="V342" s="242"/>
      <c r="W342" s="242"/>
      <c r="X342" s="242"/>
      <c r="Y342" s="242"/>
      <c r="Z342" s="242"/>
      <c r="AA342" s="231"/>
    </row>
    <row r="343" spans="1:27" s="141" customFormat="1">
      <c r="A343" s="239"/>
      <c r="B343" s="240"/>
      <c r="C343" s="241"/>
      <c r="D343" s="239"/>
      <c r="E343" s="239"/>
      <c r="F343" s="239"/>
      <c r="G343" s="239"/>
      <c r="H343" s="239"/>
      <c r="I343" s="239"/>
      <c r="J343" s="239"/>
      <c r="K343" s="239"/>
      <c r="L343" s="239"/>
      <c r="M343" s="239"/>
      <c r="N343" s="239"/>
      <c r="O343" s="240"/>
      <c r="P343" s="242"/>
      <c r="Q343" s="242"/>
      <c r="R343" s="242"/>
      <c r="S343" s="242"/>
      <c r="T343" s="242"/>
      <c r="U343" s="242"/>
      <c r="V343" s="242"/>
      <c r="W343" s="242"/>
      <c r="X343" s="242"/>
      <c r="Y343" s="242"/>
      <c r="Z343" s="242"/>
      <c r="AA343" s="231"/>
    </row>
    <row r="344" spans="1:27" s="141" customFormat="1">
      <c r="A344" s="239"/>
      <c r="B344" s="240"/>
      <c r="C344" s="241"/>
      <c r="D344" s="239"/>
      <c r="E344" s="239"/>
      <c r="F344" s="239"/>
      <c r="G344" s="239"/>
      <c r="H344" s="239"/>
      <c r="I344" s="239"/>
      <c r="J344" s="239"/>
      <c r="K344" s="239"/>
      <c r="L344" s="239"/>
      <c r="M344" s="239"/>
      <c r="N344" s="239"/>
      <c r="O344" s="240"/>
      <c r="P344" s="242"/>
      <c r="Q344" s="242"/>
      <c r="R344" s="242"/>
      <c r="S344" s="242"/>
      <c r="T344" s="242"/>
      <c r="U344" s="242"/>
      <c r="V344" s="242"/>
      <c r="W344" s="242"/>
      <c r="X344" s="242"/>
      <c r="Y344" s="242"/>
      <c r="Z344" s="242"/>
      <c r="AA344" s="231"/>
    </row>
    <row r="345" spans="1:27" s="141" customFormat="1">
      <c r="A345" s="239"/>
      <c r="B345" s="240"/>
      <c r="C345" s="241"/>
      <c r="D345" s="239"/>
      <c r="E345" s="239"/>
      <c r="F345" s="239"/>
      <c r="G345" s="239"/>
      <c r="H345" s="239"/>
      <c r="I345" s="239"/>
      <c r="J345" s="239"/>
      <c r="K345" s="239"/>
      <c r="L345" s="239"/>
      <c r="M345" s="239"/>
      <c r="N345" s="239"/>
      <c r="O345" s="240"/>
      <c r="P345" s="242"/>
      <c r="Q345" s="242"/>
      <c r="R345" s="242"/>
      <c r="S345" s="242"/>
      <c r="T345" s="242"/>
      <c r="U345" s="242"/>
      <c r="V345" s="242"/>
      <c r="W345" s="242"/>
      <c r="X345" s="242"/>
      <c r="Y345" s="242"/>
      <c r="Z345" s="242"/>
      <c r="AA345" s="231"/>
    </row>
    <row r="346" spans="1:27" s="141" customFormat="1">
      <c r="A346" s="239"/>
      <c r="B346" s="240"/>
      <c r="C346" s="241"/>
      <c r="D346" s="239"/>
      <c r="E346" s="239"/>
      <c r="F346" s="239"/>
      <c r="G346" s="239"/>
      <c r="H346" s="239"/>
      <c r="I346" s="239"/>
      <c r="J346" s="239"/>
      <c r="K346" s="239"/>
      <c r="L346" s="239"/>
      <c r="M346" s="239"/>
      <c r="N346" s="239"/>
      <c r="O346" s="240"/>
      <c r="P346" s="242"/>
      <c r="Q346" s="242"/>
      <c r="R346" s="242"/>
      <c r="S346" s="242"/>
      <c r="T346" s="242"/>
      <c r="U346" s="242"/>
      <c r="V346" s="242"/>
      <c r="W346" s="242"/>
      <c r="X346" s="242"/>
      <c r="Y346" s="242"/>
      <c r="Z346" s="242"/>
      <c r="AA346" s="231"/>
    </row>
    <row r="347" spans="1:27" s="141" customFormat="1">
      <c r="A347" s="239"/>
      <c r="B347" s="240"/>
      <c r="C347" s="241"/>
      <c r="D347" s="239"/>
      <c r="E347" s="239"/>
      <c r="F347" s="239"/>
      <c r="G347" s="239"/>
      <c r="H347" s="239"/>
      <c r="I347" s="239"/>
      <c r="J347" s="239"/>
      <c r="K347" s="239"/>
      <c r="L347" s="239"/>
      <c r="M347" s="239"/>
      <c r="N347" s="239"/>
      <c r="O347" s="240"/>
      <c r="P347" s="242"/>
      <c r="Q347" s="242"/>
      <c r="R347" s="242"/>
      <c r="S347" s="242"/>
      <c r="T347" s="242"/>
      <c r="U347" s="242"/>
      <c r="V347" s="242"/>
      <c r="W347" s="242"/>
      <c r="X347" s="242"/>
      <c r="Y347" s="242"/>
      <c r="Z347" s="242"/>
      <c r="AA347" s="231"/>
    </row>
    <row r="348" spans="1:27" s="141" customFormat="1">
      <c r="A348" s="239"/>
      <c r="B348" s="240"/>
      <c r="C348" s="241"/>
      <c r="D348" s="239"/>
      <c r="E348" s="239"/>
      <c r="F348" s="239"/>
      <c r="G348" s="239"/>
      <c r="H348" s="239"/>
      <c r="I348" s="239"/>
      <c r="J348" s="239"/>
      <c r="K348" s="239"/>
      <c r="L348" s="239"/>
      <c r="M348" s="239"/>
      <c r="N348" s="239"/>
      <c r="O348" s="240"/>
      <c r="P348" s="242"/>
      <c r="Q348" s="242"/>
      <c r="R348" s="242"/>
      <c r="S348" s="242"/>
      <c r="T348" s="242"/>
      <c r="U348" s="242"/>
      <c r="V348" s="242"/>
      <c r="W348" s="242"/>
      <c r="X348" s="242"/>
      <c r="Y348" s="242"/>
      <c r="Z348" s="242"/>
      <c r="AA348" s="231"/>
    </row>
    <row r="349" spans="1:27" s="141" customFormat="1">
      <c r="A349" s="239"/>
      <c r="B349" s="240"/>
      <c r="C349" s="241"/>
      <c r="D349" s="239"/>
      <c r="E349" s="239"/>
      <c r="F349" s="239"/>
      <c r="G349" s="239"/>
      <c r="H349" s="239"/>
      <c r="I349" s="239"/>
      <c r="J349" s="239"/>
      <c r="K349" s="239"/>
      <c r="L349" s="239"/>
      <c r="M349" s="239"/>
      <c r="N349" s="239"/>
      <c r="O349" s="240"/>
      <c r="P349" s="242"/>
      <c r="Q349" s="242"/>
      <c r="R349" s="242"/>
      <c r="S349" s="242"/>
      <c r="T349" s="242"/>
      <c r="U349" s="242"/>
      <c r="V349" s="242"/>
      <c r="W349" s="242"/>
      <c r="X349" s="242"/>
      <c r="Y349" s="242"/>
      <c r="Z349" s="242"/>
      <c r="AA349" s="231"/>
    </row>
    <row r="350" spans="1:27" s="141" customFormat="1">
      <c r="A350" s="239"/>
      <c r="B350" s="240"/>
      <c r="C350" s="241"/>
      <c r="D350" s="239"/>
      <c r="E350" s="239"/>
      <c r="F350" s="239"/>
      <c r="G350" s="239"/>
      <c r="H350" s="239"/>
      <c r="I350" s="239"/>
      <c r="J350" s="239"/>
      <c r="K350" s="239"/>
      <c r="L350" s="239"/>
      <c r="M350" s="239"/>
      <c r="N350" s="239"/>
      <c r="O350" s="240"/>
      <c r="P350" s="242"/>
      <c r="Q350" s="242"/>
      <c r="R350" s="242"/>
      <c r="S350" s="242"/>
      <c r="T350" s="242"/>
      <c r="U350" s="242"/>
      <c r="V350" s="242"/>
      <c r="W350" s="242"/>
      <c r="X350" s="242"/>
      <c r="Y350" s="242"/>
      <c r="Z350" s="242"/>
      <c r="AA350" s="231"/>
    </row>
    <row r="351" spans="1:27" s="141" customFormat="1">
      <c r="A351" s="239"/>
      <c r="B351" s="240"/>
      <c r="C351" s="241"/>
      <c r="D351" s="239"/>
      <c r="E351" s="239"/>
      <c r="F351" s="239"/>
      <c r="G351" s="239"/>
      <c r="H351" s="239"/>
      <c r="I351" s="239"/>
      <c r="J351" s="239"/>
      <c r="K351" s="239"/>
      <c r="L351" s="239"/>
      <c r="M351" s="239"/>
      <c r="N351" s="239"/>
      <c r="O351" s="240"/>
      <c r="P351" s="242"/>
      <c r="Q351" s="242"/>
      <c r="R351" s="242"/>
      <c r="S351" s="242"/>
      <c r="T351" s="242"/>
      <c r="U351" s="242"/>
      <c r="V351" s="242"/>
      <c r="W351" s="242"/>
      <c r="X351" s="242"/>
      <c r="Y351" s="242"/>
      <c r="Z351" s="242"/>
      <c r="AA351" s="231"/>
    </row>
    <row r="352" spans="1:27" s="141" customFormat="1">
      <c r="A352" s="239"/>
      <c r="B352" s="240"/>
      <c r="C352" s="241"/>
      <c r="D352" s="239"/>
      <c r="E352" s="239"/>
      <c r="F352" s="239"/>
      <c r="G352" s="239"/>
      <c r="H352" s="239"/>
      <c r="I352" s="239"/>
      <c r="J352" s="239"/>
      <c r="K352" s="239"/>
      <c r="L352" s="239"/>
      <c r="M352" s="239"/>
      <c r="N352" s="239"/>
      <c r="O352" s="240"/>
      <c r="P352" s="242"/>
      <c r="Q352" s="242"/>
      <c r="R352" s="242"/>
      <c r="S352" s="242"/>
      <c r="T352" s="242"/>
      <c r="U352" s="242"/>
      <c r="V352" s="242"/>
      <c r="W352" s="242"/>
      <c r="X352" s="242"/>
      <c r="Y352" s="242"/>
      <c r="Z352" s="242"/>
      <c r="AA352" s="231"/>
    </row>
    <row r="353" spans="1:27" s="141" customFormat="1">
      <c r="A353" s="239"/>
      <c r="B353" s="240"/>
      <c r="C353" s="241"/>
      <c r="D353" s="239"/>
      <c r="E353" s="239"/>
      <c r="F353" s="239"/>
      <c r="G353" s="239"/>
      <c r="H353" s="239"/>
      <c r="I353" s="239"/>
      <c r="J353" s="239"/>
      <c r="K353" s="239"/>
      <c r="L353" s="239"/>
      <c r="M353" s="239"/>
      <c r="N353" s="239"/>
      <c r="O353" s="240"/>
      <c r="P353" s="242"/>
      <c r="Q353" s="242"/>
      <c r="R353" s="242"/>
      <c r="S353" s="242"/>
      <c r="T353" s="242"/>
      <c r="U353" s="242"/>
      <c r="V353" s="242"/>
      <c r="W353" s="242"/>
      <c r="X353" s="242"/>
      <c r="Y353" s="242"/>
      <c r="Z353" s="242"/>
      <c r="AA353" s="231"/>
    </row>
    <row r="354" spans="1:27" s="141" customFormat="1">
      <c r="A354" s="239"/>
      <c r="B354" s="240"/>
      <c r="C354" s="241"/>
      <c r="D354" s="239"/>
      <c r="E354" s="239"/>
      <c r="F354" s="239"/>
      <c r="G354" s="239"/>
      <c r="H354" s="239"/>
      <c r="I354" s="239"/>
      <c r="J354" s="239"/>
      <c r="K354" s="239"/>
      <c r="L354" s="239"/>
      <c r="M354" s="239"/>
      <c r="N354" s="239"/>
      <c r="O354" s="240"/>
      <c r="P354" s="242"/>
      <c r="Q354" s="242"/>
      <c r="R354" s="242"/>
      <c r="S354" s="242"/>
      <c r="T354" s="242"/>
      <c r="U354" s="242"/>
      <c r="V354" s="242"/>
      <c r="W354" s="242"/>
      <c r="X354" s="242"/>
      <c r="Y354" s="242"/>
      <c r="Z354" s="242"/>
      <c r="AA354" s="231"/>
    </row>
    <row r="355" spans="1:27" s="141" customFormat="1">
      <c r="A355" s="239"/>
      <c r="B355" s="240"/>
      <c r="C355" s="241"/>
      <c r="D355" s="239"/>
      <c r="E355" s="239"/>
      <c r="F355" s="239"/>
      <c r="G355" s="239"/>
      <c r="H355" s="239"/>
      <c r="I355" s="239"/>
      <c r="J355" s="239"/>
      <c r="K355" s="239"/>
      <c r="L355" s="239"/>
      <c r="M355" s="239"/>
      <c r="N355" s="239"/>
      <c r="O355" s="240"/>
      <c r="P355" s="242"/>
      <c r="Q355" s="242"/>
      <c r="R355" s="242"/>
      <c r="S355" s="242"/>
      <c r="T355" s="242"/>
      <c r="U355" s="242"/>
      <c r="V355" s="242"/>
      <c r="W355" s="242"/>
      <c r="X355" s="242"/>
      <c r="Y355" s="242"/>
      <c r="Z355" s="242"/>
      <c r="AA355" s="231"/>
    </row>
    <row r="356" spans="1:27" s="141" customFormat="1">
      <c r="A356" s="239"/>
      <c r="B356" s="240"/>
      <c r="C356" s="241"/>
      <c r="D356" s="239"/>
      <c r="E356" s="239"/>
      <c r="F356" s="239"/>
      <c r="G356" s="239"/>
      <c r="H356" s="239"/>
      <c r="I356" s="239"/>
      <c r="J356" s="239"/>
      <c r="K356" s="239"/>
      <c r="L356" s="239"/>
      <c r="M356" s="239"/>
      <c r="N356" s="239"/>
      <c r="O356" s="240"/>
      <c r="P356" s="242"/>
      <c r="Q356" s="242"/>
      <c r="R356" s="242"/>
      <c r="S356" s="242"/>
      <c r="T356" s="242"/>
      <c r="U356" s="242"/>
      <c r="V356" s="242"/>
      <c r="W356" s="242"/>
      <c r="X356" s="242"/>
      <c r="Y356" s="242"/>
      <c r="Z356" s="242"/>
      <c r="AA356" s="231"/>
    </row>
    <row r="357" spans="1:27" s="141" customFormat="1">
      <c r="A357" s="239"/>
      <c r="B357" s="240"/>
      <c r="C357" s="241"/>
      <c r="D357" s="239"/>
      <c r="E357" s="239"/>
      <c r="F357" s="239"/>
      <c r="G357" s="239"/>
      <c r="H357" s="239"/>
      <c r="I357" s="239"/>
      <c r="J357" s="239"/>
      <c r="K357" s="239"/>
      <c r="L357" s="239"/>
      <c r="M357" s="239"/>
      <c r="N357" s="239"/>
      <c r="O357" s="240"/>
      <c r="P357" s="242"/>
      <c r="Q357" s="242"/>
      <c r="R357" s="242"/>
      <c r="S357" s="242"/>
      <c r="T357" s="242"/>
      <c r="U357" s="242"/>
      <c r="V357" s="242"/>
      <c r="W357" s="242"/>
      <c r="X357" s="242"/>
      <c r="Y357" s="242"/>
      <c r="Z357" s="242"/>
      <c r="AA357" s="231"/>
    </row>
    <row r="358" spans="1:27" s="141" customFormat="1">
      <c r="A358" s="239"/>
      <c r="B358" s="240"/>
      <c r="C358" s="241"/>
      <c r="D358" s="239"/>
      <c r="E358" s="239"/>
      <c r="F358" s="239"/>
      <c r="G358" s="239"/>
      <c r="H358" s="239"/>
      <c r="I358" s="239"/>
      <c r="J358" s="239"/>
      <c r="K358" s="239"/>
      <c r="L358" s="239"/>
      <c r="M358" s="239"/>
      <c r="N358" s="239"/>
      <c r="O358" s="240"/>
      <c r="P358" s="242"/>
      <c r="Q358" s="242"/>
      <c r="R358" s="242"/>
      <c r="S358" s="242"/>
      <c r="T358" s="242"/>
      <c r="U358" s="242"/>
      <c r="V358" s="242"/>
      <c r="W358" s="242"/>
      <c r="X358" s="242"/>
      <c r="Y358" s="242"/>
      <c r="Z358" s="242"/>
      <c r="AA358" s="231"/>
    </row>
    <row r="359" spans="1:27" s="141" customFormat="1">
      <c r="A359" s="239"/>
      <c r="B359" s="240"/>
      <c r="C359" s="241"/>
      <c r="D359" s="239"/>
      <c r="E359" s="239"/>
      <c r="F359" s="239"/>
      <c r="G359" s="239"/>
      <c r="H359" s="239"/>
      <c r="I359" s="239"/>
      <c r="J359" s="239"/>
      <c r="K359" s="239"/>
      <c r="L359" s="239"/>
      <c r="M359" s="239"/>
      <c r="N359" s="239"/>
      <c r="O359" s="240"/>
      <c r="P359" s="242"/>
      <c r="Q359" s="242"/>
      <c r="R359" s="242"/>
      <c r="S359" s="242"/>
      <c r="T359" s="242"/>
      <c r="U359" s="242"/>
      <c r="V359" s="242"/>
      <c r="W359" s="242"/>
      <c r="X359" s="242"/>
      <c r="Y359" s="242"/>
      <c r="Z359" s="242"/>
      <c r="AA359" s="231"/>
    </row>
    <row r="360" spans="1:27" s="141" customFormat="1">
      <c r="A360" s="239"/>
      <c r="B360" s="240"/>
      <c r="C360" s="241"/>
      <c r="D360" s="239"/>
      <c r="E360" s="239"/>
      <c r="F360" s="239"/>
      <c r="G360" s="239"/>
      <c r="H360" s="239"/>
      <c r="I360" s="239"/>
      <c r="J360" s="239"/>
      <c r="K360" s="239"/>
      <c r="L360" s="239"/>
      <c r="M360" s="239"/>
      <c r="N360" s="239"/>
      <c r="O360" s="240"/>
      <c r="P360" s="242"/>
      <c r="Q360" s="242"/>
      <c r="R360" s="242"/>
      <c r="S360" s="242"/>
      <c r="T360" s="242"/>
      <c r="U360" s="242"/>
      <c r="V360" s="242"/>
      <c r="W360" s="242"/>
      <c r="X360" s="242"/>
      <c r="Y360" s="242"/>
      <c r="Z360" s="242"/>
      <c r="AA360" s="231"/>
    </row>
    <row r="361" spans="1:27" s="141" customFormat="1">
      <c r="A361" s="239"/>
      <c r="B361" s="240"/>
      <c r="C361" s="241"/>
      <c r="D361" s="239"/>
      <c r="E361" s="239"/>
      <c r="F361" s="239"/>
      <c r="G361" s="239"/>
      <c r="H361" s="239"/>
      <c r="I361" s="239"/>
      <c r="J361" s="239"/>
      <c r="K361" s="239"/>
      <c r="L361" s="239"/>
      <c r="M361" s="239"/>
      <c r="N361" s="239"/>
      <c r="O361" s="240"/>
      <c r="P361" s="242"/>
      <c r="Q361" s="242"/>
      <c r="R361" s="242"/>
      <c r="S361" s="242"/>
      <c r="T361" s="242"/>
      <c r="U361" s="242"/>
      <c r="V361" s="242"/>
      <c r="W361" s="242"/>
      <c r="X361" s="242"/>
      <c r="Y361" s="242"/>
      <c r="Z361" s="242"/>
      <c r="AA361" s="231"/>
    </row>
    <row r="362" spans="1:27" s="141" customFormat="1">
      <c r="A362" s="239"/>
      <c r="B362" s="240"/>
      <c r="C362" s="241"/>
      <c r="D362" s="239"/>
      <c r="E362" s="239"/>
      <c r="F362" s="239"/>
      <c r="G362" s="239"/>
      <c r="H362" s="239"/>
      <c r="I362" s="239"/>
      <c r="J362" s="239"/>
      <c r="K362" s="239"/>
      <c r="L362" s="239"/>
      <c r="M362" s="239"/>
      <c r="N362" s="239"/>
      <c r="O362" s="240"/>
      <c r="P362" s="242"/>
      <c r="Q362" s="242"/>
      <c r="R362" s="242"/>
      <c r="S362" s="242"/>
      <c r="T362" s="242"/>
      <c r="U362" s="242"/>
      <c r="V362" s="242"/>
      <c r="W362" s="242"/>
      <c r="X362" s="242"/>
      <c r="Y362" s="242"/>
      <c r="Z362" s="242"/>
      <c r="AA362" s="231"/>
    </row>
    <row r="363" spans="1:27" s="141" customFormat="1">
      <c r="A363" s="239"/>
      <c r="B363" s="240"/>
      <c r="C363" s="241"/>
      <c r="D363" s="239"/>
      <c r="E363" s="239"/>
      <c r="F363" s="239"/>
      <c r="G363" s="239"/>
      <c r="H363" s="239"/>
      <c r="I363" s="239"/>
      <c r="J363" s="239"/>
      <c r="K363" s="239"/>
      <c r="L363" s="239"/>
      <c r="M363" s="239"/>
      <c r="N363" s="239"/>
      <c r="O363" s="240"/>
      <c r="P363" s="242"/>
      <c r="Q363" s="242"/>
      <c r="R363" s="242"/>
      <c r="S363" s="242"/>
      <c r="T363" s="242"/>
      <c r="U363" s="242"/>
      <c r="V363" s="242"/>
      <c r="W363" s="242"/>
      <c r="X363" s="242"/>
      <c r="Y363" s="242"/>
      <c r="Z363" s="242"/>
      <c r="AA363" s="231"/>
    </row>
    <row r="364" spans="1:27" s="141" customFormat="1">
      <c r="A364" s="239"/>
      <c r="B364" s="240"/>
      <c r="C364" s="241"/>
      <c r="D364" s="239"/>
      <c r="E364" s="239"/>
      <c r="F364" s="239"/>
      <c r="G364" s="239"/>
      <c r="H364" s="239"/>
      <c r="I364" s="239"/>
      <c r="J364" s="239"/>
      <c r="K364" s="239"/>
      <c r="L364" s="239"/>
      <c r="M364" s="239"/>
      <c r="N364" s="239"/>
      <c r="O364" s="240"/>
      <c r="P364" s="242"/>
      <c r="Q364" s="242"/>
      <c r="R364" s="242"/>
      <c r="S364" s="242"/>
      <c r="T364" s="242"/>
      <c r="U364" s="242"/>
      <c r="V364" s="242"/>
      <c r="W364" s="242"/>
      <c r="X364" s="242"/>
      <c r="Y364" s="242"/>
      <c r="Z364" s="242"/>
      <c r="AA364" s="231"/>
    </row>
    <row r="365" spans="1:27" s="141" customFormat="1">
      <c r="A365" s="239"/>
      <c r="B365" s="240"/>
      <c r="C365" s="241"/>
      <c r="D365" s="239"/>
      <c r="E365" s="239"/>
      <c r="F365" s="239"/>
      <c r="G365" s="239"/>
      <c r="H365" s="239"/>
      <c r="I365" s="239"/>
      <c r="J365" s="239"/>
      <c r="K365" s="239"/>
      <c r="L365" s="239"/>
      <c r="M365" s="239"/>
      <c r="N365" s="239"/>
      <c r="O365" s="240"/>
      <c r="P365" s="242"/>
      <c r="Q365" s="242"/>
      <c r="R365" s="242"/>
      <c r="S365" s="242"/>
      <c r="T365" s="242"/>
      <c r="U365" s="242"/>
      <c r="V365" s="242"/>
      <c r="W365" s="242"/>
      <c r="X365" s="242"/>
      <c r="Y365" s="242"/>
      <c r="Z365" s="242"/>
      <c r="AA365" s="231"/>
    </row>
    <row r="366" spans="1:27" s="141" customFormat="1">
      <c r="A366" s="239"/>
      <c r="B366" s="240"/>
      <c r="C366" s="241"/>
      <c r="D366" s="239"/>
      <c r="E366" s="239"/>
      <c r="F366" s="239"/>
      <c r="G366" s="239"/>
      <c r="H366" s="239"/>
      <c r="I366" s="239"/>
      <c r="J366" s="239"/>
      <c r="K366" s="239"/>
      <c r="L366" s="239"/>
      <c r="M366" s="239"/>
      <c r="N366" s="239"/>
      <c r="O366" s="240"/>
      <c r="P366" s="242"/>
      <c r="Q366" s="242"/>
      <c r="R366" s="242"/>
      <c r="S366" s="242"/>
      <c r="T366" s="242"/>
      <c r="U366" s="242"/>
      <c r="V366" s="242"/>
      <c r="W366" s="242"/>
      <c r="X366" s="242"/>
      <c r="Y366" s="242"/>
      <c r="Z366" s="242"/>
      <c r="AA366" s="231"/>
    </row>
    <row r="367" spans="1:27" s="141" customFormat="1">
      <c r="A367" s="239"/>
      <c r="B367" s="240"/>
      <c r="C367" s="241"/>
      <c r="D367" s="239"/>
      <c r="E367" s="239"/>
      <c r="F367" s="239"/>
      <c r="G367" s="239"/>
      <c r="H367" s="239"/>
      <c r="I367" s="239"/>
      <c r="J367" s="239"/>
      <c r="K367" s="239"/>
      <c r="L367" s="239"/>
      <c r="M367" s="239"/>
      <c r="N367" s="239"/>
      <c r="O367" s="240"/>
      <c r="P367" s="242"/>
      <c r="Q367" s="242"/>
      <c r="R367" s="242"/>
      <c r="S367" s="242"/>
      <c r="T367" s="242"/>
      <c r="U367" s="242"/>
      <c r="V367" s="242"/>
      <c r="W367" s="242"/>
      <c r="X367" s="242"/>
      <c r="Y367" s="242"/>
      <c r="Z367" s="242"/>
      <c r="AA367" s="231"/>
    </row>
    <row r="368" spans="1:27" s="71" customFormat="1">
      <c r="A368" s="239"/>
      <c r="B368" s="240"/>
      <c r="C368" s="241"/>
      <c r="D368" s="239"/>
      <c r="E368" s="239"/>
      <c r="F368" s="239"/>
      <c r="G368" s="239"/>
      <c r="H368" s="239"/>
      <c r="I368" s="239"/>
      <c r="J368" s="239"/>
      <c r="K368" s="239"/>
      <c r="L368" s="239"/>
      <c r="M368" s="239"/>
      <c r="N368" s="239"/>
      <c r="O368" s="240"/>
      <c r="P368" s="242"/>
      <c r="Q368" s="242"/>
      <c r="R368" s="242"/>
      <c r="S368" s="242"/>
      <c r="T368" s="242"/>
      <c r="U368" s="242"/>
      <c r="V368" s="242"/>
      <c r="W368" s="242"/>
      <c r="X368" s="242"/>
      <c r="Y368" s="242"/>
      <c r="Z368" s="242"/>
      <c r="AA368" s="231"/>
    </row>
    <row r="369" spans="1:27" s="71" customFormat="1">
      <c r="A369" s="239"/>
      <c r="B369" s="240"/>
      <c r="C369" s="241"/>
      <c r="D369" s="239"/>
      <c r="E369" s="239"/>
      <c r="F369" s="239"/>
      <c r="G369" s="239"/>
      <c r="H369" s="239"/>
      <c r="I369" s="239"/>
      <c r="J369" s="239"/>
      <c r="K369" s="239"/>
      <c r="L369" s="239"/>
      <c r="M369" s="239"/>
      <c r="N369" s="239"/>
      <c r="O369" s="240"/>
      <c r="P369" s="242"/>
      <c r="Q369" s="242"/>
      <c r="R369" s="242"/>
      <c r="S369" s="242"/>
      <c r="T369" s="242"/>
      <c r="U369" s="242"/>
      <c r="V369" s="242"/>
      <c r="W369" s="242"/>
      <c r="X369" s="242"/>
      <c r="Y369" s="242"/>
      <c r="Z369" s="242"/>
      <c r="AA369" s="231"/>
    </row>
    <row r="370" spans="1:27" s="71" customFormat="1">
      <c r="A370" s="239"/>
      <c r="B370" s="240"/>
      <c r="C370" s="241"/>
      <c r="D370" s="239"/>
      <c r="E370" s="239"/>
      <c r="F370" s="239"/>
      <c r="G370" s="239"/>
      <c r="H370" s="239"/>
      <c r="I370" s="239"/>
      <c r="J370" s="239"/>
      <c r="K370" s="239"/>
      <c r="L370" s="239"/>
      <c r="M370" s="239"/>
      <c r="N370" s="239"/>
      <c r="O370" s="240"/>
      <c r="P370" s="242"/>
      <c r="Q370" s="242"/>
      <c r="R370" s="242"/>
      <c r="S370" s="242"/>
      <c r="T370" s="242"/>
      <c r="U370" s="242"/>
      <c r="V370" s="242"/>
      <c r="W370" s="242"/>
      <c r="X370" s="242"/>
      <c r="Y370" s="242"/>
      <c r="Z370" s="242"/>
      <c r="AA370" s="231"/>
    </row>
    <row r="371" spans="1:27" s="71" customFormat="1">
      <c r="A371" s="239"/>
      <c r="B371" s="240"/>
      <c r="C371" s="241"/>
      <c r="D371" s="239"/>
      <c r="E371" s="239"/>
      <c r="F371" s="239"/>
      <c r="G371" s="239"/>
      <c r="H371" s="239"/>
      <c r="I371" s="239"/>
      <c r="J371" s="239"/>
      <c r="K371" s="239"/>
      <c r="L371" s="239"/>
      <c r="M371" s="239"/>
      <c r="N371" s="239"/>
      <c r="O371" s="240"/>
      <c r="P371" s="242"/>
      <c r="Q371" s="242"/>
      <c r="R371" s="242"/>
      <c r="S371" s="242"/>
      <c r="T371" s="242"/>
      <c r="U371" s="242"/>
      <c r="V371" s="242"/>
      <c r="W371" s="242"/>
      <c r="X371" s="242"/>
      <c r="Y371" s="242"/>
      <c r="Z371" s="242"/>
      <c r="AA371" s="231"/>
    </row>
    <row r="372" spans="1:27" s="71" customFormat="1">
      <c r="A372" s="239"/>
      <c r="B372" s="240"/>
      <c r="C372" s="241"/>
      <c r="D372" s="239"/>
      <c r="E372" s="239"/>
      <c r="F372" s="239"/>
      <c r="G372" s="239"/>
      <c r="H372" s="239"/>
      <c r="I372" s="239"/>
      <c r="J372" s="239"/>
      <c r="K372" s="239"/>
      <c r="L372" s="239"/>
      <c r="M372" s="239"/>
      <c r="N372" s="239"/>
      <c r="O372" s="240"/>
      <c r="P372" s="242"/>
      <c r="Q372" s="242"/>
      <c r="R372" s="242"/>
      <c r="S372" s="242"/>
      <c r="T372" s="242"/>
      <c r="U372" s="242"/>
      <c r="V372" s="242"/>
      <c r="W372" s="242"/>
      <c r="X372" s="242"/>
      <c r="Y372" s="242"/>
      <c r="Z372" s="242"/>
      <c r="AA372" s="70"/>
    </row>
    <row r="373" spans="1:27" s="71" customFormat="1">
      <c r="A373" s="239"/>
      <c r="B373" s="240"/>
      <c r="C373" s="241"/>
      <c r="D373" s="239"/>
      <c r="E373" s="239"/>
      <c r="F373" s="239"/>
      <c r="G373" s="239"/>
      <c r="H373" s="239"/>
      <c r="I373" s="239"/>
      <c r="J373" s="239"/>
      <c r="K373" s="239"/>
      <c r="L373" s="239"/>
      <c r="M373" s="239"/>
      <c r="N373" s="239"/>
      <c r="O373" s="240"/>
      <c r="P373" s="242"/>
      <c r="Q373" s="242"/>
      <c r="R373" s="242"/>
      <c r="S373" s="242"/>
      <c r="T373" s="242"/>
      <c r="U373" s="242"/>
      <c r="V373" s="242"/>
      <c r="W373" s="242"/>
      <c r="X373" s="242"/>
      <c r="Y373" s="242"/>
      <c r="Z373" s="242"/>
      <c r="AA373" s="70"/>
    </row>
    <row r="374" spans="1:27" s="141" customFormat="1">
      <c r="A374" s="239"/>
      <c r="B374" s="240"/>
      <c r="C374" s="241"/>
      <c r="D374" s="239"/>
      <c r="E374" s="239"/>
      <c r="F374" s="239"/>
      <c r="G374" s="239"/>
      <c r="H374" s="239"/>
      <c r="I374" s="239"/>
      <c r="J374" s="239"/>
      <c r="K374" s="239"/>
      <c r="L374" s="239"/>
      <c r="M374" s="239"/>
      <c r="N374" s="239"/>
      <c r="O374" s="240"/>
      <c r="P374" s="242"/>
      <c r="Q374" s="242"/>
      <c r="R374" s="242"/>
      <c r="S374" s="242"/>
      <c r="T374" s="242"/>
      <c r="U374" s="242"/>
      <c r="V374" s="242"/>
      <c r="W374" s="242"/>
      <c r="X374" s="242"/>
      <c r="Y374" s="242"/>
      <c r="Z374" s="242"/>
    </row>
    <row r="375" spans="1:27" s="141" customFormat="1">
      <c r="A375" s="239"/>
      <c r="B375" s="240"/>
      <c r="C375" s="241"/>
      <c r="D375" s="239"/>
      <c r="E375" s="239"/>
      <c r="F375" s="239"/>
      <c r="G375" s="239"/>
      <c r="H375" s="239"/>
      <c r="I375" s="239"/>
      <c r="J375" s="239"/>
      <c r="K375" s="239"/>
      <c r="L375" s="239"/>
      <c r="M375" s="239"/>
      <c r="N375" s="239"/>
      <c r="O375" s="240"/>
      <c r="P375" s="242"/>
      <c r="Q375" s="242"/>
      <c r="R375" s="242"/>
      <c r="S375" s="242"/>
      <c r="T375" s="242"/>
      <c r="U375" s="242"/>
      <c r="V375" s="242"/>
      <c r="W375" s="242"/>
      <c r="X375" s="242"/>
      <c r="Y375" s="242"/>
      <c r="Z375" s="242"/>
    </row>
    <row r="376" spans="1:27" s="141" customFormat="1">
      <c r="A376" s="239"/>
      <c r="B376" s="240"/>
      <c r="C376" s="241"/>
      <c r="D376" s="239"/>
      <c r="E376" s="239"/>
      <c r="F376" s="239"/>
      <c r="G376" s="239"/>
      <c r="H376" s="239"/>
      <c r="I376" s="239"/>
      <c r="J376" s="239"/>
      <c r="K376" s="239"/>
      <c r="L376" s="239"/>
      <c r="M376" s="239"/>
      <c r="N376" s="239"/>
      <c r="O376" s="240"/>
      <c r="P376" s="242"/>
      <c r="Q376" s="242"/>
      <c r="R376" s="242"/>
      <c r="S376" s="242"/>
      <c r="T376" s="242"/>
      <c r="U376" s="242"/>
      <c r="V376" s="242"/>
      <c r="W376" s="242"/>
      <c r="X376" s="242"/>
      <c r="Y376" s="242"/>
      <c r="Z376" s="242"/>
    </row>
    <row r="377" spans="1:27" s="141" customFormat="1">
      <c r="A377" s="239"/>
      <c r="B377" s="240"/>
      <c r="C377" s="241"/>
      <c r="D377" s="239"/>
      <c r="E377" s="239"/>
      <c r="F377" s="239"/>
      <c r="G377" s="239"/>
      <c r="H377" s="239"/>
      <c r="I377" s="239"/>
      <c r="J377" s="239"/>
      <c r="K377" s="239"/>
      <c r="L377" s="239"/>
      <c r="M377" s="239"/>
      <c r="N377" s="239"/>
      <c r="O377" s="240"/>
      <c r="P377" s="242"/>
      <c r="Q377" s="242"/>
      <c r="R377" s="242"/>
      <c r="S377" s="242"/>
      <c r="T377" s="242"/>
      <c r="U377" s="242"/>
      <c r="V377" s="242"/>
      <c r="W377" s="242"/>
      <c r="X377" s="242"/>
      <c r="Y377" s="242"/>
      <c r="Z377" s="242"/>
    </row>
    <row r="378" spans="1:27" s="141" customFormat="1">
      <c r="A378" s="239"/>
      <c r="B378" s="240"/>
      <c r="C378" s="241"/>
      <c r="D378" s="239"/>
      <c r="E378" s="239"/>
      <c r="F378" s="239"/>
      <c r="G378" s="239"/>
      <c r="H378" s="239"/>
      <c r="I378" s="239"/>
      <c r="J378" s="239"/>
      <c r="K378" s="239"/>
      <c r="L378" s="239"/>
      <c r="M378" s="239"/>
      <c r="N378" s="239"/>
      <c r="O378" s="240"/>
      <c r="P378" s="242"/>
      <c r="Q378" s="242"/>
      <c r="R378" s="242"/>
      <c r="S378" s="242"/>
      <c r="T378" s="242"/>
      <c r="U378" s="242"/>
      <c r="V378" s="242"/>
      <c r="W378" s="242"/>
      <c r="X378" s="242"/>
      <c r="Y378" s="242"/>
      <c r="Z378" s="242"/>
    </row>
    <row r="379" spans="1:27" s="141" customFormat="1">
      <c r="A379" s="239"/>
      <c r="B379" s="240"/>
      <c r="C379" s="241"/>
      <c r="D379" s="239"/>
      <c r="E379" s="239"/>
      <c r="F379" s="239"/>
      <c r="G379" s="239"/>
      <c r="H379" s="239"/>
      <c r="I379" s="239"/>
      <c r="J379" s="239"/>
      <c r="K379" s="239"/>
      <c r="L379" s="239"/>
      <c r="M379" s="239"/>
      <c r="N379" s="239"/>
      <c r="O379" s="240"/>
      <c r="P379" s="242"/>
      <c r="Q379" s="242"/>
      <c r="R379" s="242"/>
      <c r="S379" s="242"/>
      <c r="T379" s="242"/>
      <c r="U379" s="242"/>
      <c r="V379" s="242"/>
      <c r="W379" s="242"/>
      <c r="X379" s="242"/>
      <c r="Y379" s="242"/>
      <c r="Z379" s="242"/>
    </row>
    <row r="380" spans="1:27" s="141" customFormat="1">
      <c r="A380" s="239"/>
      <c r="B380" s="240"/>
      <c r="C380" s="241"/>
      <c r="D380" s="239"/>
      <c r="E380" s="239"/>
      <c r="F380" s="239"/>
      <c r="G380" s="239"/>
      <c r="H380" s="239"/>
      <c r="I380" s="239"/>
      <c r="J380" s="239"/>
      <c r="K380" s="239"/>
      <c r="L380" s="239"/>
      <c r="M380" s="239"/>
      <c r="N380" s="239"/>
      <c r="O380" s="240"/>
      <c r="P380" s="242"/>
      <c r="Q380" s="242"/>
      <c r="R380" s="242"/>
      <c r="S380" s="242"/>
      <c r="T380" s="242"/>
      <c r="U380" s="242"/>
      <c r="V380" s="242"/>
      <c r="W380" s="242"/>
      <c r="X380" s="242"/>
      <c r="Y380" s="242"/>
      <c r="Z380" s="242"/>
    </row>
    <row r="381" spans="1:27" s="141" customFormat="1">
      <c r="A381" s="239"/>
      <c r="B381" s="240"/>
      <c r="C381" s="241"/>
      <c r="D381" s="239"/>
      <c r="E381" s="239"/>
      <c r="F381" s="239"/>
      <c r="G381" s="239"/>
      <c r="H381" s="239"/>
      <c r="I381" s="239"/>
      <c r="J381" s="239"/>
      <c r="K381" s="239"/>
      <c r="L381" s="239"/>
      <c r="M381" s="239"/>
      <c r="N381" s="239"/>
      <c r="O381" s="240"/>
      <c r="P381" s="242"/>
      <c r="Q381" s="242"/>
      <c r="R381" s="242"/>
      <c r="S381" s="242"/>
      <c r="T381" s="242"/>
      <c r="U381" s="242"/>
      <c r="V381" s="242"/>
      <c r="W381" s="242"/>
      <c r="X381" s="242"/>
      <c r="Y381" s="242"/>
      <c r="Z381" s="242"/>
    </row>
    <row r="382" spans="1:27" s="141" customFormat="1">
      <c r="A382" s="239"/>
      <c r="B382" s="240"/>
      <c r="C382" s="241"/>
      <c r="D382" s="239"/>
      <c r="E382" s="239"/>
      <c r="F382" s="239"/>
      <c r="G382" s="239"/>
      <c r="H382" s="239"/>
      <c r="I382" s="239"/>
      <c r="J382" s="239"/>
      <c r="K382" s="239"/>
      <c r="L382" s="239"/>
      <c r="M382" s="239"/>
      <c r="N382" s="239"/>
      <c r="O382" s="240"/>
      <c r="P382" s="242"/>
      <c r="Q382" s="242"/>
      <c r="R382" s="242"/>
      <c r="S382" s="242"/>
      <c r="T382" s="242"/>
      <c r="U382" s="242"/>
      <c r="V382" s="242"/>
      <c r="W382" s="242"/>
      <c r="X382" s="242"/>
      <c r="Y382" s="242"/>
      <c r="Z382" s="242"/>
    </row>
    <row r="383" spans="1:27" s="141" customFormat="1">
      <c r="A383" s="239"/>
      <c r="B383" s="240"/>
      <c r="C383" s="241"/>
      <c r="D383" s="239"/>
      <c r="E383" s="239"/>
      <c r="F383" s="239"/>
      <c r="G383" s="239"/>
      <c r="H383" s="239"/>
      <c r="I383" s="239"/>
      <c r="J383" s="239"/>
      <c r="K383" s="239"/>
      <c r="L383" s="239"/>
      <c r="M383" s="239"/>
      <c r="N383" s="239"/>
      <c r="O383" s="240"/>
      <c r="P383" s="242"/>
      <c r="Q383" s="242"/>
      <c r="R383" s="242"/>
      <c r="S383" s="242"/>
      <c r="T383" s="242"/>
      <c r="U383" s="242"/>
      <c r="V383" s="242"/>
      <c r="W383" s="242"/>
      <c r="X383" s="242"/>
      <c r="Y383" s="242"/>
      <c r="Z383" s="242"/>
    </row>
    <row r="384" spans="1:27" s="141" customFormat="1">
      <c r="A384" s="239"/>
      <c r="B384" s="240"/>
      <c r="C384" s="241"/>
      <c r="D384" s="239"/>
      <c r="E384" s="239"/>
      <c r="F384" s="239"/>
      <c r="G384" s="239"/>
      <c r="H384" s="239"/>
      <c r="I384" s="239"/>
      <c r="J384" s="239"/>
      <c r="K384" s="239"/>
      <c r="L384" s="239"/>
      <c r="M384" s="239"/>
      <c r="N384" s="239"/>
      <c r="O384" s="240"/>
      <c r="P384" s="242"/>
      <c r="Q384" s="242"/>
      <c r="R384" s="242"/>
      <c r="S384" s="242"/>
      <c r="T384" s="242"/>
      <c r="U384" s="242"/>
      <c r="V384" s="242"/>
      <c r="W384" s="242"/>
      <c r="X384" s="242"/>
      <c r="Y384" s="242"/>
      <c r="Z384" s="242"/>
    </row>
    <row r="385" spans="1:26" s="141" customFormat="1">
      <c r="A385" s="239"/>
      <c r="B385" s="240"/>
      <c r="C385" s="241"/>
      <c r="D385" s="239"/>
      <c r="E385" s="239"/>
      <c r="F385" s="239"/>
      <c r="G385" s="239"/>
      <c r="H385" s="239"/>
      <c r="I385" s="239"/>
      <c r="J385" s="239"/>
      <c r="K385" s="239"/>
      <c r="L385" s="239"/>
      <c r="M385" s="239"/>
      <c r="N385" s="239"/>
      <c r="O385" s="240"/>
      <c r="P385" s="242"/>
      <c r="Q385" s="242"/>
      <c r="R385" s="242"/>
      <c r="S385" s="242"/>
      <c r="T385" s="242"/>
      <c r="U385" s="242"/>
      <c r="V385" s="242"/>
      <c r="W385" s="242"/>
      <c r="X385" s="242"/>
      <c r="Y385" s="242"/>
      <c r="Z385" s="242"/>
    </row>
    <row r="386" spans="1:26" s="141" customFormat="1">
      <c r="A386" s="239"/>
      <c r="B386" s="240"/>
      <c r="C386" s="241"/>
      <c r="D386" s="239"/>
      <c r="E386" s="239"/>
      <c r="F386" s="239"/>
      <c r="G386" s="239"/>
      <c r="H386" s="239"/>
      <c r="I386" s="239"/>
      <c r="J386" s="239"/>
      <c r="K386" s="239"/>
      <c r="L386" s="239"/>
      <c r="M386" s="239"/>
      <c r="N386" s="239"/>
      <c r="O386" s="240"/>
      <c r="P386" s="242"/>
      <c r="Q386" s="242"/>
      <c r="R386" s="242"/>
      <c r="S386" s="242"/>
      <c r="T386" s="242"/>
      <c r="U386" s="242"/>
      <c r="V386" s="242"/>
      <c r="W386" s="242"/>
      <c r="X386" s="242"/>
      <c r="Y386" s="242"/>
      <c r="Z386" s="242"/>
    </row>
    <row r="387" spans="1:26" s="141" customFormat="1">
      <c r="A387" s="239"/>
      <c r="B387" s="240"/>
      <c r="C387" s="241"/>
      <c r="D387" s="239"/>
      <c r="E387" s="239"/>
      <c r="F387" s="239"/>
      <c r="G387" s="239"/>
      <c r="H387" s="239"/>
      <c r="I387" s="239"/>
      <c r="J387" s="239"/>
      <c r="K387" s="239"/>
      <c r="L387" s="239"/>
      <c r="M387" s="239"/>
      <c r="N387" s="239"/>
      <c r="O387" s="240"/>
      <c r="P387" s="242"/>
      <c r="Q387" s="242"/>
      <c r="R387" s="242"/>
      <c r="S387" s="242"/>
      <c r="T387" s="242"/>
      <c r="U387" s="242"/>
      <c r="V387" s="242"/>
      <c r="W387" s="242"/>
      <c r="X387" s="242"/>
      <c r="Y387" s="242"/>
      <c r="Z387" s="242"/>
    </row>
    <row r="388" spans="1:26" s="141" customFormat="1">
      <c r="A388" s="239"/>
      <c r="B388" s="240"/>
      <c r="C388" s="241"/>
      <c r="D388" s="239"/>
      <c r="E388" s="239"/>
      <c r="F388" s="239"/>
      <c r="G388" s="239"/>
      <c r="H388" s="239"/>
      <c r="I388" s="239"/>
      <c r="J388" s="239"/>
      <c r="K388" s="239"/>
      <c r="L388" s="239"/>
      <c r="M388" s="239"/>
      <c r="N388" s="239"/>
      <c r="O388" s="240"/>
      <c r="P388" s="242"/>
      <c r="Q388" s="242"/>
      <c r="R388" s="242"/>
      <c r="S388" s="242"/>
      <c r="T388" s="242"/>
      <c r="U388" s="242"/>
      <c r="V388" s="242"/>
      <c r="W388" s="242"/>
      <c r="X388" s="242"/>
      <c r="Y388" s="242"/>
      <c r="Z388" s="242"/>
    </row>
    <row r="389" spans="1:26" s="141" customFormat="1">
      <c r="A389" s="239"/>
      <c r="B389" s="240"/>
      <c r="C389" s="241"/>
      <c r="D389" s="239"/>
      <c r="E389" s="239"/>
      <c r="F389" s="239"/>
      <c r="G389" s="239"/>
      <c r="H389" s="239"/>
      <c r="I389" s="239"/>
      <c r="J389" s="239"/>
      <c r="K389" s="239"/>
      <c r="L389" s="239"/>
      <c r="M389" s="239"/>
      <c r="N389" s="239"/>
      <c r="O389" s="240"/>
      <c r="P389" s="242"/>
      <c r="Q389" s="242"/>
      <c r="R389" s="242"/>
      <c r="S389" s="242"/>
      <c r="T389" s="242"/>
      <c r="U389" s="242"/>
      <c r="V389" s="242"/>
      <c r="W389" s="242"/>
      <c r="X389" s="242"/>
      <c r="Y389" s="242"/>
      <c r="Z389" s="242"/>
    </row>
    <row r="390" spans="1:26" s="141" customFormat="1">
      <c r="A390" s="239"/>
      <c r="B390" s="240"/>
      <c r="C390" s="241"/>
      <c r="D390" s="239"/>
      <c r="E390" s="239"/>
      <c r="F390" s="239"/>
      <c r="G390" s="239"/>
      <c r="H390" s="239"/>
      <c r="I390" s="239"/>
      <c r="J390" s="239"/>
      <c r="K390" s="239"/>
      <c r="L390" s="239"/>
      <c r="M390" s="239"/>
      <c r="N390" s="239"/>
      <c r="O390" s="240"/>
      <c r="P390" s="242"/>
      <c r="Q390" s="242"/>
      <c r="R390" s="242"/>
      <c r="S390" s="242"/>
      <c r="T390" s="242"/>
      <c r="U390" s="242"/>
      <c r="V390" s="242"/>
      <c r="W390" s="242"/>
      <c r="X390" s="242"/>
      <c r="Y390" s="242"/>
      <c r="Z390" s="242"/>
    </row>
    <row r="391" spans="1:26" s="141" customFormat="1">
      <c r="A391" s="239"/>
      <c r="B391" s="240"/>
      <c r="C391" s="241"/>
      <c r="D391" s="239"/>
      <c r="E391" s="239"/>
      <c r="F391" s="239"/>
      <c r="G391" s="239"/>
      <c r="H391" s="239"/>
      <c r="I391" s="239"/>
      <c r="J391" s="239"/>
      <c r="K391" s="239"/>
      <c r="L391" s="239"/>
      <c r="M391" s="239"/>
      <c r="N391" s="239"/>
      <c r="O391" s="240"/>
      <c r="P391" s="242"/>
      <c r="Q391" s="242"/>
      <c r="R391" s="242"/>
      <c r="S391" s="242"/>
      <c r="T391" s="242"/>
      <c r="U391" s="242"/>
      <c r="V391" s="242"/>
      <c r="W391" s="242"/>
      <c r="X391" s="242"/>
      <c r="Y391" s="242"/>
      <c r="Z391" s="242"/>
    </row>
    <row r="392" spans="1:26" s="141" customFormat="1">
      <c r="A392" s="239"/>
      <c r="B392" s="240"/>
      <c r="C392" s="241"/>
      <c r="D392" s="239"/>
      <c r="E392" s="239"/>
      <c r="F392" s="239"/>
      <c r="G392" s="239"/>
      <c r="H392" s="239"/>
      <c r="I392" s="239"/>
      <c r="J392" s="239"/>
      <c r="K392" s="239"/>
      <c r="L392" s="239"/>
      <c r="M392" s="239"/>
      <c r="N392" s="239"/>
      <c r="O392" s="240"/>
      <c r="P392" s="242"/>
      <c r="Q392" s="242"/>
      <c r="R392" s="242"/>
      <c r="S392" s="242"/>
      <c r="T392" s="242"/>
      <c r="U392" s="242"/>
      <c r="V392" s="242"/>
      <c r="W392" s="242"/>
      <c r="X392" s="242"/>
      <c r="Y392" s="242"/>
      <c r="Z392" s="242"/>
    </row>
    <row r="393" spans="1:26" s="141" customFormat="1">
      <c r="A393" s="239"/>
      <c r="B393" s="240"/>
      <c r="C393" s="241"/>
      <c r="D393" s="239"/>
      <c r="E393" s="239"/>
      <c r="F393" s="239"/>
      <c r="G393" s="239"/>
      <c r="H393" s="239"/>
      <c r="I393" s="239"/>
      <c r="J393" s="239"/>
      <c r="K393" s="239"/>
      <c r="L393" s="239"/>
      <c r="M393" s="239"/>
      <c r="N393" s="239"/>
      <c r="O393" s="240"/>
      <c r="P393" s="242"/>
      <c r="Q393" s="242"/>
      <c r="R393" s="242"/>
      <c r="S393" s="242"/>
      <c r="T393" s="242"/>
      <c r="U393" s="242"/>
      <c r="V393" s="242"/>
      <c r="W393" s="242"/>
      <c r="X393" s="242"/>
      <c r="Y393" s="242"/>
      <c r="Z393" s="242"/>
    </row>
    <row r="394" spans="1:26" s="141" customFormat="1">
      <c r="A394" s="239"/>
      <c r="B394" s="240"/>
      <c r="C394" s="241"/>
      <c r="D394" s="239"/>
      <c r="E394" s="239"/>
      <c r="F394" s="239"/>
      <c r="G394" s="239"/>
      <c r="H394" s="239"/>
      <c r="I394" s="239"/>
      <c r="J394" s="239"/>
      <c r="K394" s="239"/>
      <c r="L394" s="239"/>
      <c r="M394" s="239"/>
      <c r="N394" s="239"/>
      <c r="O394" s="240"/>
      <c r="P394" s="242"/>
      <c r="Q394" s="242"/>
      <c r="R394" s="242"/>
      <c r="S394" s="242"/>
      <c r="T394" s="242"/>
      <c r="U394" s="242"/>
      <c r="V394" s="242"/>
      <c r="W394" s="242"/>
      <c r="X394" s="242"/>
      <c r="Y394" s="242"/>
      <c r="Z394" s="242"/>
    </row>
    <row r="395" spans="1:26" s="141" customFormat="1">
      <c r="A395" s="239"/>
      <c r="B395" s="240"/>
      <c r="C395" s="241"/>
      <c r="D395" s="239"/>
      <c r="E395" s="239"/>
      <c r="F395" s="239"/>
      <c r="G395" s="239"/>
      <c r="H395" s="239"/>
      <c r="I395" s="239"/>
      <c r="J395" s="239"/>
      <c r="K395" s="239"/>
      <c r="L395" s="239"/>
      <c r="M395" s="239"/>
      <c r="N395" s="239"/>
      <c r="O395" s="240"/>
      <c r="P395" s="242"/>
      <c r="Q395" s="242"/>
      <c r="R395" s="242"/>
      <c r="S395" s="242"/>
      <c r="T395" s="242"/>
      <c r="U395" s="242"/>
      <c r="V395" s="242"/>
      <c r="W395" s="242"/>
      <c r="X395" s="242"/>
      <c r="Y395" s="242"/>
      <c r="Z395" s="242"/>
    </row>
    <row r="396" spans="1:26" s="141" customFormat="1">
      <c r="A396" s="239"/>
      <c r="B396" s="240"/>
      <c r="C396" s="241"/>
      <c r="D396" s="239"/>
      <c r="E396" s="239"/>
      <c r="F396" s="239"/>
      <c r="G396" s="239"/>
      <c r="H396" s="239"/>
      <c r="I396" s="239"/>
      <c r="J396" s="239"/>
      <c r="K396" s="239"/>
      <c r="L396" s="239"/>
      <c r="M396" s="239"/>
      <c r="N396" s="239"/>
      <c r="O396" s="240"/>
      <c r="P396" s="242"/>
      <c r="Q396" s="242"/>
      <c r="R396" s="242"/>
      <c r="S396" s="242"/>
      <c r="T396" s="242"/>
      <c r="U396" s="242"/>
      <c r="V396" s="242"/>
      <c r="W396" s="242"/>
      <c r="X396" s="242"/>
      <c r="Y396" s="242"/>
      <c r="Z396" s="242"/>
    </row>
    <row r="397" spans="1:26" s="141" customFormat="1">
      <c r="A397" s="239"/>
      <c r="B397" s="240"/>
      <c r="C397" s="241"/>
      <c r="D397" s="239"/>
      <c r="E397" s="239"/>
      <c r="F397" s="239"/>
      <c r="G397" s="239"/>
      <c r="H397" s="239"/>
      <c r="I397" s="239"/>
      <c r="J397" s="239"/>
      <c r="K397" s="239"/>
      <c r="L397" s="239"/>
      <c r="M397" s="239"/>
      <c r="N397" s="239"/>
      <c r="O397" s="240"/>
      <c r="P397" s="242"/>
      <c r="Q397" s="242"/>
      <c r="R397" s="242"/>
      <c r="S397" s="242"/>
      <c r="T397" s="242"/>
      <c r="U397" s="242"/>
      <c r="V397" s="242"/>
      <c r="W397" s="242"/>
      <c r="X397" s="242"/>
      <c r="Y397" s="242"/>
      <c r="Z397" s="242"/>
    </row>
    <row r="398" spans="1:26" s="141" customFormat="1">
      <c r="A398" s="239"/>
      <c r="B398" s="240"/>
      <c r="C398" s="241"/>
      <c r="D398" s="239"/>
      <c r="E398" s="239"/>
      <c r="F398" s="239"/>
      <c r="G398" s="239"/>
      <c r="H398" s="239"/>
      <c r="I398" s="239"/>
      <c r="J398" s="239"/>
      <c r="K398" s="239"/>
      <c r="L398" s="239"/>
      <c r="M398" s="239"/>
      <c r="N398" s="239"/>
      <c r="O398" s="240"/>
      <c r="P398" s="242"/>
      <c r="Q398" s="242"/>
      <c r="R398" s="242"/>
      <c r="S398" s="242"/>
      <c r="T398" s="242"/>
      <c r="U398" s="242"/>
      <c r="V398" s="242"/>
      <c r="W398" s="242"/>
      <c r="X398" s="242"/>
      <c r="Y398" s="242"/>
      <c r="Z398" s="242"/>
    </row>
    <row r="399" spans="1:26" s="141" customFormat="1">
      <c r="A399" s="239"/>
      <c r="B399" s="240"/>
      <c r="C399" s="241"/>
      <c r="D399" s="239"/>
      <c r="E399" s="239"/>
      <c r="F399" s="239"/>
      <c r="G399" s="239"/>
      <c r="H399" s="239"/>
      <c r="I399" s="239"/>
      <c r="J399" s="239"/>
      <c r="K399" s="239"/>
      <c r="L399" s="239"/>
      <c r="M399" s="239"/>
      <c r="N399" s="239"/>
      <c r="O399" s="240"/>
      <c r="P399" s="242"/>
      <c r="Q399" s="242"/>
      <c r="R399" s="242"/>
      <c r="S399" s="242"/>
      <c r="T399" s="242"/>
      <c r="U399" s="242"/>
      <c r="V399" s="242"/>
      <c r="W399" s="242"/>
      <c r="X399" s="242"/>
      <c r="Y399" s="242"/>
      <c r="Z399" s="242"/>
    </row>
    <row r="400" spans="1:26" s="141" customFormat="1">
      <c r="A400" s="239"/>
      <c r="B400" s="240"/>
      <c r="C400" s="241"/>
      <c r="D400" s="239"/>
      <c r="E400" s="239"/>
      <c r="F400" s="239"/>
      <c r="G400" s="239"/>
      <c r="H400" s="239"/>
      <c r="I400" s="239"/>
      <c r="J400" s="239"/>
      <c r="K400" s="239"/>
      <c r="L400" s="239"/>
      <c r="M400" s="239"/>
      <c r="N400" s="239"/>
      <c r="O400" s="240"/>
      <c r="P400" s="242"/>
      <c r="Q400" s="242"/>
      <c r="R400" s="242"/>
      <c r="S400" s="242"/>
      <c r="T400" s="242"/>
      <c r="U400" s="242"/>
      <c r="V400" s="242"/>
      <c r="W400" s="242"/>
      <c r="X400" s="242"/>
      <c r="Y400" s="242"/>
      <c r="Z400" s="242"/>
    </row>
    <row r="401" spans="1:33" s="141" customFormat="1">
      <c r="A401" s="239"/>
      <c r="B401" s="240"/>
      <c r="C401" s="241"/>
      <c r="D401" s="239"/>
      <c r="E401" s="239"/>
      <c r="F401" s="239"/>
      <c r="G401" s="239"/>
      <c r="H401" s="239"/>
      <c r="I401" s="239"/>
      <c r="J401" s="239"/>
      <c r="K401" s="239"/>
      <c r="L401" s="239"/>
      <c r="M401" s="239"/>
      <c r="N401" s="239"/>
      <c r="O401" s="240"/>
      <c r="P401" s="242"/>
      <c r="Q401" s="242"/>
      <c r="R401" s="242"/>
      <c r="S401" s="242"/>
      <c r="T401" s="242"/>
      <c r="U401" s="242"/>
      <c r="V401" s="242"/>
      <c r="W401" s="242"/>
      <c r="X401" s="242"/>
      <c r="Y401" s="242"/>
      <c r="Z401" s="242"/>
    </row>
    <row r="402" spans="1:33" s="141" customFormat="1">
      <c r="A402" s="239"/>
      <c r="B402" s="240"/>
      <c r="C402" s="241"/>
      <c r="D402" s="239"/>
      <c r="E402" s="239"/>
      <c r="F402" s="239"/>
      <c r="G402" s="239"/>
      <c r="H402" s="239"/>
      <c r="I402" s="239"/>
      <c r="J402" s="239"/>
      <c r="K402" s="239"/>
      <c r="L402" s="239"/>
      <c r="M402" s="239"/>
      <c r="N402" s="239"/>
      <c r="O402" s="240"/>
      <c r="P402" s="242"/>
      <c r="Q402" s="242"/>
      <c r="R402" s="242"/>
      <c r="S402" s="242"/>
      <c r="T402" s="242"/>
      <c r="U402" s="242"/>
      <c r="V402" s="242"/>
      <c r="W402" s="242"/>
      <c r="X402" s="242"/>
      <c r="Y402" s="242"/>
      <c r="Z402" s="242"/>
    </row>
    <row r="403" spans="1:33" s="141" customFormat="1">
      <c r="A403" s="239"/>
      <c r="B403" s="240"/>
      <c r="C403" s="241"/>
      <c r="D403" s="239"/>
      <c r="E403" s="239"/>
      <c r="F403" s="239"/>
      <c r="G403" s="239"/>
      <c r="H403" s="239"/>
      <c r="I403" s="239"/>
      <c r="J403" s="239"/>
      <c r="K403" s="239"/>
      <c r="L403" s="239"/>
      <c r="M403" s="239"/>
      <c r="N403" s="239"/>
      <c r="O403" s="240"/>
      <c r="P403" s="242"/>
      <c r="Q403" s="242"/>
      <c r="R403" s="242"/>
      <c r="S403" s="242"/>
      <c r="T403" s="242"/>
      <c r="U403" s="242"/>
      <c r="V403" s="242"/>
      <c r="W403" s="242"/>
      <c r="X403" s="242"/>
      <c r="Y403" s="242"/>
      <c r="Z403" s="242"/>
    </row>
    <row r="404" spans="1:33" s="141" customFormat="1">
      <c r="A404" s="239"/>
      <c r="B404" s="240"/>
      <c r="C404" s="241"/>
      <c r="D404" s="239"/>
      <c r="E404" s="239"/>
      <c r="F404" s="239"/>
      <c r="G404" s="239"/>
      <c r="H404" s="239"/>
      <c r="I404" s="239"/>
      <c r="J404" s="239"/>
      <c r="K404" s="239"/>
      <c r="L404" s="239"/>
      <c r="M404" s="239"/>
      <c r="N404" s="239"/>
      <c r="O404" s="240"/>
      <c r="P404" s="242"/>
      <c r="Q404" s="242"/>
      <c r="R404" s="242"/>
      <c r="S404" s="242"/>
      <c r="T404" s="242"/>
      <c r="U404" s="242"/>
      <c r="V404" s="242"/>
      <c r="W404" s="242"/>
      <c r="X404" s="242"/>
      <c r="Y404" s="242"/>
      <c r="Z404" s="242"/>
    </row>
    <row r="405" spans="1:33" s="64" customFormat="1">
      <c r="A405" s="239"/>
      <c r="B405" s="240"/>
      <c r="C405" s="241"/>
      <c r="D405" s="239"/>
      <c r="E405" s="239"/>
      <c r="F405" s="239"/>
      <c r="G405" s="239"/>
      <c r="H405" s="239"/>
      <c r="I405" s="239"/>
      <c r="J405" s="239"/>
      <c r="K405" s="239"/>
      <c r="L405" s="239"/>
      <c r="M405" s="239"/>
      <c r="N405" s="239"/>
      <c r="O405" s="240"/>
      <c r="P405" s="242"/>
      <c r="Q405" s="242"/>
      <c r="R405" s="242"/>
      <c r="S405" s="242"/>
      <c r="T405" s="242"/>
      <c r="U405" s="242"/>
      <c r="V405" s="242"/>
      <c r="W405" s="242"/>
      <c r="X405" s="242"/>
      <c r="Y405" s="242"/>
      <c r="Z405" s="242"/>
      <c r="AE405"/>
      <c r="AF405"/>
      <c r="AG405"/>
    </row>
    <row r="406" spans="1:33" s="64" customFormat="1">
      <c r="A406" s="239"/>
      <c r="B406" s="240"/>
      <c r="C406" s="241"/>
      <c r="D406" s="239"/>
      <c r="E406" s="239"/>
      <c r="F406" s="239"/>
      <c r="G406" s="239"/>
      <c r="H406" s="239"/>
      <c r="I406" s="239"/>
      <c r="J406" s="239"/>
      <c r="K406" s="239"/>
      <c r="L406" s="239"/>
      <c r="M406" s="239"/>
      <c r="N406" s="239"/>
      <c r="O406" s="240"/>
      <c r="P406" s="242"/>
      <c r="Q406" s="242"/>
      <c r="R406" s="242"/>
      <c r="S406" s="242"/>
      <c r="T406" s="242"/>
      <c r="U406" s="242"/>
      <c r="V406" s="242"/>
      <c r="W406" s="242"/>
      <c r="X406" s="242"/>
      <c r="Y406" s="242"/>
      <c r="Z406" s="242"/>
      <c r="AE406"/>
      <c r="AF406"/>
      <c r="AG406"/>
    </row>
    <row r="407" spans="1:33" s="64" customFormat="1">
      <c r="A407" s="239"/>
      <c r="B407" s="240"/>
      <c r="C407" s="241"/>
      <c r="D407" s="239"/>
      <c r="E407" s="239"/>
      <c r="F407" s="239"/>
      <c r="G407" s="239"/>
      <c r="H407" s="239"/>
      <c r="I407" s="239"/>
      <c r="J407" s="239"/>
      <c r="K407" s="239"/>
      <c r="L407" s="239"/>
      <c r="M407" s="239"/>
      <c r="N407" s="239"/>
      <c r="O407" s="240"/>
      <c r="P407" s="242"/>
      <c r="Q407" s="242"/>
      <c r="R407" s="242"/>
      <c r="S407" s="242"/>
      <c r="T407" s="242"/>
      <c r="U407" s="242"/>
      <c r="V407" s="242"/>
      <c r="W407" s="242"/>
      <c r="X407" s="242"/>
      <c r="Y407" s="242"/>
      <c r="Z407" s="242"/>
      <c r="AE407"/>
      <c r="AF407"/>
      <c r="AG407"/>
    </row>
    <row r="408" spans="1:33" s="64" customFormat="1">
      <c r="A408" s="239"/>
      <c r="B408" s="240"/>
      <c r="C408" s="241"/>
      <c r="D408" s="239"/>
      <c r="E408" s="239"/>
      <c r="F408" s="239"/>
      <c r="G408" s="239"/>
      <c r="H408" s="239"/>
      <c r="I408" s="239"/>
      <c r="J408" s="239"/>
      <c r="K408" s="239"/>
      <c r="L408" s="239"/>
      <c r="M408" s="239"/>
      <c r="N408" s="239"/>
      <c r="O408" s="240"/>
      <c r="P408" s="242"/>
      <c r="Q408" s="242"/>
      <c r="R408" s="242"/>
      <c r="S408" s="242"/>
      <c r="T408" s="242"/>
      <c r="U408" s="242"/>
      <c r="V408" s="242"/>
      <c r="W408" s="242"/>
      <c r="X408" s="242"/>
      <c r="Y408" s="242"/>
      <c r="Z408" s="242"/>
      <c r="AE408"/>
      <c r="AF408"/>
      <c r="AG408"/>
    </row>
    <row r="409" spans="1:33" s="64" customFormat="1">
      <c r="A409" s="239"/>
      <c r="B409" s="240"/>
      <c r="C409" s="241"/>
      <c r="D409" s="239"/>
      <c r="E409" s="239"/>
      <c r="F409" s="239"/>
      <c r="G409" s="239"/>
      <c r="H409" s="239"/>
      <c r="I409" s="239"/>
      <c r="J409" s="239"/>
      <c r="K409" s="239"/>
      <c r="L409" s="239"/>
      <c r="M409" s="239"/>
      <c r="N409" s="239"/>
      <c r="O409" s="240"/>
      <c r="P409" s="242"/>
      <c r="Q409" s="242"/>
      <c r="R409" s="242"/>
      <c r="S409" s="242"/>
      <c r="T409" s="242"/>
      <c r="U409" s="242"/>
      <c r="V409" s="242"/>
      <c r="W409" s="242"/>
      <c r="X409" s="242"/>
      <c r="Y409" s="242"/>
      <c r="Z409" s="242"/>
      <c r="AE409"/>
      <c r="AF409"/>
      <c r="AG409"/>
    </row>
    <row r="410" spans="1:33" s="64" customFormat="1">
      <c r="A410" s="239"/>
      <c r="B410" s="240"/>
      <c r="C410" s="241"/>
      <c r="D410" s="239"/>
      <c r="E410" s="239"/>
      <c r="F410" s="239"/>
      <c r="G410" s="239"/>
      <c r="H410" s="239"/>
      <c r="I410" s="239"/>
      <c r="J410" s="239"/>
      <c r="K410" s="239"/>
      <c r="L410" s="239"/>
      <c r="M410" s="239"/>
      <c r="N410" s="239"/>
      <c r="O410" s="240"/>
      <c r="P410" s="242"/>
      <c r="Q410" s="242"/>
      <c r="R410" s="242"/>
      <c r="S410" s="242"/>
      <c r="T410" s="242"/>
      <c r="U410" s="242"/>
      <c r="V410" s="242"/>
      <c r="W410" s="242"/>
      <c r="X410" s="242"/>
      <c r="Y410" s="242"/>
      <c r="Z410" s="242"/>
      <c r="AE410"/>
      <c r="AF410"/>
      <c r="AG410"/>
    </row>
    <row r="411" spans="1:33" s="64" customFormat="1">
      <c r="A411" s="239"/>
      <c r="B411" s="240"/>
      <c r="C411" s="241"/>
      <c r="D411" s="239"/>
      <c r="E411" s="239"/>
      <c r="F411" s="239"/>
      <c r="G411" s="239"/>
      <c r="H411" s="239"/>
      <c r="I411" s="239"/>
      <c r="J411" s="239"/>
      <c r="K411" s="239"/>
      <c r="L411" s="239"/>
      <c r="M411" s="239"/>
      <c r="N411" s="239"/>
      <c r="O411" s="240"/>
      <c r="P411" s="242"/>
      <c r="Q411" s="242"/>
      <c r="R411" s="242"/>
      <c r="S411" s="242"/>
      <c r="T411" s="242"/>
      <c r="U411" s="242"/>
      <c r="V411" s="242"/>
      <c r="W411" s="242"/>
      <c r="X411" s="242"/>
      <c r="Y411" s="242"/>
      <c r="Z411" s="242"/>
      <c r="AE411"/>
      <c r="AF411"/>
      <c r="AG411"/>
    </row>
    <row r="412" spans="1:33" s="64" customFormat="1">
      <c r="A412" s="239"/>
      <c r="B412" s="240"/>
      <c r="C412" s="241"/>
      <c r="D412" s="239"/>
      <c r="E412" s="239"/>
      <c r="F412" s="239"/>
      <c r="G412" s="239"/>
      <c r="H412" s="239"/>
      <c r="I412" s="239"/>
      <c r="J412" s="239"/>
      <c r="K412" s="239"/>
      <c r="L412" s="239"/>
      <c r="M412" s="239"/>
      <c r="N412" s="239"/>
      <c r="O412" s="240"/>
      <c r="P412" s="242"/>
      <c r="Q412" s="242"/>
      <c r="R412" s="242"/>
      <c r="S412" s="242"/>
      <c r="T412" s="242"/>
      <c r="U412" s="242"/>
      <c r="V412" s="242"/>
      <c r="W412" s="242"/>
      <c r="X412" s="242"/>
      <c r="Y412" s="242"/>
      <c r="Z412" s="242"/>
      <c r="AE412"/>
      <c r="AF412"/>
      <c r="AG412"/>
    </row>
    <row r="413" spans="1:33" s="64" customFormat="1">
      <c r="A413" s="239"/>
      <c r="B413" s="240"/>
      <c r="C413" s="241"/>
      <c r="D413" s="239"/>
      <c r="E413" s="239"/>
      <c r="F413" s="239"/>
      <c r="G413" s="239"/>
      <c r="H413" s="239"/>
      <c r="I413" s="239"/>
      <c r="J413" s="239"/>
      <c r="K413" s="239"/>
      <c r="L413" s="239"/>
      <c r="M413" s="239"/>
      <c r="N413" s="239"/>
      <c r="O413" s="240"/>
      <c r="P413" s="242"/>
      <c r="Q413" s="242"/>
      <c r="R413" s="242"/>
      <c r="S413" s="242"/>
      <c r="T413" s="242"/>
      <c r="U413" s="242"/>
      <c r="V413" s="242"/>
      <c r="W413" s="242"/>
      <c r="X413" s="242"/>
      <c r="Y413" s="242"/>
      <c r="Z413" s="242"/>
      <c r="AE413"/>
      <c r="AF413"/>
      <c r="AG413"/>
    </row>
    <row r="414" spans="1:33" s="64" customFormat="1">
      <c r="A414" s="239"/>
      <c r="B414" s="240"/>
      <c r="C414" s="241"/>
      <c r="D414" s="239"/>
      <c r="E414" s="239"/>
      <c r="F414" s="239"/>
      <c r="G414" s="239"/>
      <c r="H414" s="239"/>
      <c r="I414" s="239"/>
      <c r="J414" s="239"/>
      <c r="K414" s="239"/>
      <c r="L414" s="239"/>
      <c r="M414" s="239"/>
      <c r="N414" s="239"/>
      <c r="O414" s="240"/>
      <c r="P414" s="242"/>
      <c r="Q414" s="242"/>
      <c r="R414" s="242"/>
      <c r="S414" s="242"/>
      <c r="T414" s="242"/>
      <c r="U414" s="242"/>
      <c r="V414" s="242"/>
      <c r="W414" s="242"/>
      <c r="X414" s="242"/>
      <c r="Y414" s="242"/>
      <c r="Z414" s="242"/>
      <c r="AE414"/>
      <c r="AF414"/>
      <c r="AG414"/>
    </row>
    <row r="415" spans="1:33" s="64" customFormat="1">
      <c r="A415" s="239"/>
      <c r="B415" s="240"/>
      <c r="C415" s="241"/>
      <c r="D415" s="239"/>
      <c r="E415" s="239"/>
      <c r="F415" s="239"/>
      <c r="G415" s="239"/>
      <c r="H415" s="239"/>
      <c r="I415" s="239"/>
      <c r="J415" s="239"/>
      <c r="K415" s="239"/>
      <c r="L415" s="239"/>
      <c r="M415" s="239"/>
      <c r="N415" s="239"/>
      <c r="O415" s="240"/>
      <c r="P415" s="242"/>
      <c r="Q415" s="242"/>
      <c r="R415" s="242"/>
      <c r="S415" s="242"/>
      <c r="T415" s="242"/>
      <c r="U415" s="242"/>
      <c r="V415" s="242"/>
      <c r="W415" s="242"/>
      <c r="X415" s="242"/>
      <c r="Y415" s="242"/>
      <c r="Z415" s="242"/>
      <c r="AE415"/>
      <c r="AF415"/>
      <c r="AG415"/>
    </row>
    <row r="416" spans="1:33" s="64" customFormat="1">
      <c r="A416" s="239"/>
      <c r="B416" s="240"/>
      <c r="C416" s="241"/>
      <c r="D416" s="239"/>
      <c r="E416" s="239"/>
      <c r="F416" s="239"/>
      <c r="G416" s="239"/>
      <c r="H416" s="239"/>
      <c r="I416" s="239"/>
      <c r="J416" s="239"/>
      <c r="K416" s="239"/>
      <c r="L416" s="239"/>
      <c r="M416" s="239"/>
      <c r="N416" s="239"/>
      <c r="O416" s="240"/>
      <c r="P416" s="242"/>
      <c r="Q416" s="242"/>
      <c r="R416" s="242"/>
      <c r="S416" s="242"/>
      <c r="T416" s="242"/>
      <c r="U416" s="242"/>
      <c r="V416" s="242"/>
      <c r="W416" s="242"/>
      <c r="X416" s="242"/>
      <c r="Y416" s="242"/>
      <c r="Z416" s="242"/>
      <c r="AE416"/>
      <c r="AF416"/>
      <c r="AG416"/>
    </row>
    <row r="417" spans="1:33" s="64" customFormat="1">
      <c r="A417" s="239"/>
      <c r="B417" s="240"/>
      <c r="C417" s="241"/>
      <c r="D417" s="239"/>
      <c r="E417" s="239"/>
      <c r="F417" s="239"/>
      <c r="G417" s="239"/>
      <c r="H417" s="239"/>
      <c r="I417" s="239"/>
      <c r="J417" s="239"/>
      <c r="K417" s="239"/>
      <c r="L417" s="239"/>
      <c r="M417" s="239"/>
      <c r="N417" s="239"/>
      <c r="O417" s="240"/>
      <c r="P417" s="242"/>
      <c r="Q417" s="242"/>
      <c r="R417" s="242"/>
      <c r="S417" s="242"/>
      <c r="T417" s="242"/>
      <c r="U417" s="242"/>
      <c r="V417" s="242"/>
      <c r="W417" s="242"/>
      <c r="X417" s="242"/>
      <c r="Y417" s="242"/>
      <c r="Z417" s="242"/>
      <c r="AE417"/>
      <c r="AF417"/>
      <c r="AG417"/>
    </row>
    <row r="418" spans="1:33" s="64" customFormat="1">
      <c r="A418" s="239"/>
      <c r="B418" s="240"/>
      <c r="C418" s="241"/>
      <c r="D418" s="239"/>
      <c r="E418" s="239"/>
      <c r="F418" s="239"/>
      <c r="G418" s="239"/>
      <c r="H418" s="239"/>
      <c r="I418" s="239"/>
      <c r="J418" s="239"/>
      <c r="K418" s="239"/>
      <c r="L418" s="239"/>
      <c r="M418" s="239"/>
      <c r="N418" s="239"/>
      <c r="O418" s="240"/>
      <c r="P418" s="242"/>
      <c r="Q418" s="242"/>
      <c r="R418" s="242"/>
      <c r="S418" s="242"/>
      <c r="T418" s="242"/>
      <c r="U418" s="242"/>
      <c r="V418" s="242"/>
      <c r="W418" s="242"/>
      <c r="X418" s="242"/>
      <c r="Y418" s="242"/>
      <c r="Z418" s="242"/>
      <c r="AE418"/>
      <c r="AF418"/>
      <c r="AG418"/>
    </row>
    <row r="419" spans="1:33" s="64" customFormat="1">
      <c r="A419" s="239"/>
      <c r="B419" s="240"/>
      <c r="C419" s="241"/>
      <c r="D419" s="239"/>
      <c r="E419" s="239"/>
      <c r="F419" s="239"/>
      <c r="G419" s="239"/>
      <c r="H419" s="239"/>
      <c r="I419" s="239"/>
      <c r="J419" s="239"/>
      <c r="K419" s="239"/>
      <c r="L419" s="239"/>
      <c r="M419" s="239"/>
      <c r="N419" s="239"/>
      <c r="O419" s="240"/>
      <c r="P419" s="242"/>
      <c r="Q419" s="242"/>
      <c r="R419" s="242"/>
      <c r="S419" s="242"/>
      <c r="T419" s="242"/>
      <c r="U419" s="242"/>
      <c r="V419" s="242"/>
      <c r="W419" s="242"/>
      <c r="X419" s="242"/>
      <c r="Y419" s="242"/>
      <c r="Z419" s="242"/>
      <c r="AE419"/>
      <c r="AF419"/>
      <c r="AG419"/>
    </row>
    <row r="420" spans="1:33" s="64" customFormat="1">
      <c r="A420" s="150"/>
      <c r="B420" s="151"/>
      <c r="C420" s="152"/>
      <c r="D420" s="150"/>
      <c r="E420" s="150"/>
      <c r="F420" s="150"/>
      <c r="G420" s="150"/>
      <c r="H420" s="150"/>
      <c r="I420" s="150"/>
      <c r="J420" s="150"/>
      <c r="K420" s="150"/>
      <c r="L420" s="150"/>
      <c r="M420" s="150"/>
      <c r="N420" s="150"/>
      <c r="O420" s="151"/>
      <c r="P420" s="153"/>
      <c r="Q420" s="153"/>
      <c r="R420" s="153"/>
      <c r="S420" s="153"/>
      <c r="T420" s="153"/>
      <c r="U420" s="153"/>
      <c r="V420" s="153"/>
      <c r="W420" s="153"/>
      <c r="X420" s="153"/>
      <c r="Y420" s="153"/>
      <c r="Z420" s="153"/>
      <c r="AE420"/>
      <c r="AF420"/>
      <c r="AG420"/>
    </row>
    <row r="421" spans="1:33" s="64" customFormat="1">
      <c r="A421" s="150"/>
      <c r="B421" s="151"/>
      <c r="C421" s="152"/>
      <c r="D421" s="150"/>
      <c r="E421" s="150"/>
      <c r="F421" s="150"/>
      <c r="G421" s="150"/>
      <c r="H421" s="150"/>
      <c r="I421" s="150"/>
      <c r="J421" s="150"/>
      <c r="K421" s="150"/>
      <c r="L421" s="150"/>
      <c r="M421" s="150"/>
      <c r="N421" s="150"/>
      <c r="O421" s="151"/>
      <c r="P421" s="153"/>
      <c r="Q421" s="153"/>
      <c r="R421" s="153"/>
      <c r="S421" s="153"/>
      <c r="T421" s="153"/>
      <c r="U421" s="153"/>
      <c r="V421" s="153"/>
      <c r="W421" s="153"/>
      <c r="X421" s="153"/>
      <c r="Y421" s="153"/>
      <c r="Z421" s="153"/>
      <c r="AE421"/>
      <c r="AF421"/>
      <c r="AG421"/>
    </row>
    <row r="422" spans="1:33">
      <c r="A422" s="150"/>
      <c r="B422" s="151"/>
      <c r="C422" s="152"/>
      <c r="D422" s="150"/>
      <c r="E422" s="150"/>
      <c r="F422" s="150"/>
      <c r="G422" s="150"/>
      <c r="H422" s="150"/>
      <c r="I422" s="150"/>
      <c r="J422" s="150"/>
      <c r="K422" s="150"/>
      <c r="L422" s="150"/>
      <c r="M422" s="150"/>
      <c r="N422" s="150"/>
      <c r="O422" s="151"/>
      <c r="P422" s="153"/>
      <c r="Q422" s="153"/>
      <c r="R422" s="153"/>
      <c r="S422" s="153"/>
      <c r="T422" s="153"/>
      <c r="U422" s="153"/>
      <c r="V422" s="153"/>
      <c r="W422" s="153"/>
      <c r="X422" s="153"/>
      <c r="Y422" s="153"/>
      <c r="Z422" s="153"/>
    </row>
    <row r="423" spans="1:33">
      <c r="A423" s="150"/>
      <c r="B423" s="151"/>
      <c r="C423" s="152"/>
      <c r="D423" s="150"/>
      <c r="E423" s="150"/>
      <c r="F423" s="150"/>
      <c r="G423" s="150"/>
      <c r="H423" s="150"/>
      <c r="I423" s="150"/>
      <c r="J423" s="150"/>
      <c r="K423" s="150"/>
      <c r="L423" s="150"/>
      <c r="M423" s="150"/>
      <c r="N423" s="150"/>
      <c r="O423" s="151"/>
      <c r="P423" s="153"/>
      <c r="Q423" s="153"/>
      <c r="R423" s="153"/>
      <c r="S423" s="153"/>
      <c r="T423" s="153"/>
      <c r="U423" s="153"/>
      <c r="V423" s="153"/>
      <c r="W423" s="153"/>
      <c r="X423" s="153"/>
      <c r="Y423" s="153"/>
      <c r="Z423" s="153"/>
    </row>
    <row r="424" spans="1:33">
      <c r="A424" s="150"/>
      <c r="B424" s="151"/>
      <c r="C424" s="152"/>
      <c r="D424" s="150"/>
      <c r="E424" s="150"/>
      <c r="F424" s="150"/>
      <c r="G424" s="150"/>
      <c r="H424" s="150"/>
      <c r="I424" s="150"/>
      <c r="J424" s="150"/>
      <c r="K424" s="150"/>
      <c r="L424" s="150"/>
      <c r="M424" s="150"/>
      <c r="N424" s="150"/>
      <c r="O424" s="151"/>
      <c r="P424" s="153"/>
      <c r="Q424" s="153"/>
      <c r="R424" s="153"/>
      <c r="S424" s="153"/>
      <c r="T424" s="153"/>
      <c r="U424" s="153"/>
      <c r="V424" s="153"/>
      <c r="W424" s="153"/>
      <c r="X424" s="153"/>
      <c r="Y424" s="153"/>
      <c r="Z424" s="153"/>
    </row>
    <row r="425" spans="1:33">
      <c r="A425" s="150"/>
      <c r="B425" s="151"/>
      <c r="C425" s="152"/>
      <c r="D425" s="150"/>
      <c r="E425" s="150"/>
      <c r="F425" s="150"/>
      <c r="G425" s="150"/>
      <c r="H425" s="150"/>
      <c r="I425" s="150"/>
      <c r="J425" s="150"/>
      <c r="K425" s="150"/>
      <c r="L425" s="150"/>
      <c r="M425" s="150"/>
      <c r="N425" s="150"/>
      <c r="O425" s="151"/>
      <c r="P425" s="153"/>
      <c r="Q425" s="153"/>
      <c r="R425" s="153"/>
      <c r="S425" s="153"/>
      <c r="T425" s="153"/>
      <c r="U425" s="153"/>
      <c r="V425" s="153"/>
      <c r="W425" s="153"/>
      <c r="X425" s="153"/>
      <c r="Y425" s="153"/>
      <c r="Z425" s="153"/>
    </row>
    <row r="426" spans="1:33">
      <c r="A426" s="150"/>
      <c r="B426" s="151"/>
      <c r="C426" s="152"/>
      <c r="D426" s="150"/>
      <c r="E426" s="150"/>
      <c r="F426" s="150"/>
      <c r="G426" s="150"/>
      <c r="H426" s="150"/>
      <c r="I426" s="150"/>
      <c r="J426" s="150"/>
      <c r="K426" s="150"/>
      <c r="L426" s="150"/>
      <c r="M426" s="150"/>
      <c r="N426" s="150"/>
      <c r="O426" s="151"/>
      <c r="P426" s="153"/>
      <c r="Q426" s="153"/>
      <c r="R426" s="153"/>
      <c r="S426" s="153"/>
      <c r="T426" s="153"/>
      <c r="U426" s="153"/>
      <c r="V426" s="153"/>
      <c r="W426" s="153"/>
      <c r="X426" s="153"/>
      <c r="Y426" s="153"/>
      <c r="Z426" s="153"/>
    </row>
    <row r="427" spans="1:33">
      <c r="A427" s="150"/>
      <c r="B427" s="151"/>
      <c r="C427" s="152"/>
      <c r="D427" s="150"/>
      <c r="E427" s="150"/>
      <c r="F427" s="150"/>
      <c r="G427" s="150"/>
      <c r="H427" s="150"/>
      <c r="I427" s="150"/>
      <c r="J427" s="150"/>
      <c r="K427" s="150"/>
      <c r="L427" s="150"/>
      <c r="M427" s="150"/>
      <c r="N427" s="150"/>
      <c r="O427" s="151"/>
      <c r="P427" s="153"/>
      <c r="Q427" s="153"/>
      <c r="R427" s="153"/>
      <c r="S427" s="153"/>
      <c r="T427" s="153"/>
      <c r="U427" s="153"/>
      <c r="V427" s="153"/>
      <c r="W427" s="153"/>
      <c r="X427" s="153"/>
      <c r="Y427" s="153"/>
      <c r="Z427" s="153"/>
    </row>
    <row r="428" spans="1:33">
      <c r="A428" s="150"/>
      <c r="B428" s="151"/>
      <c r="C428" s="152"/>
      <c r="D428" s="150"/>
      <c r="E428" s="150"/>
      <c r="F428" s="150"/>
      <c r="G428" s="150"/>
      <c r="H428" s="150"/>
      <c r="I428" s="150"/>
      <c r="J428" s="150"/>
      <c r="K428" s="150"/>
      <c r="L428" s="150"/>
      <c r="M428" s="150"/>
      <c r="N428" s="150"/>
      <c r="O428" s="151"/>
      <c r="P428" s="153"/>
      <c r="Q428" s="153"/>
      <c r="R428" s="153"/>
      <c r="S428" s="153"/>
      <c r="T428" s="153"/>
      <c r="U428" s="153"/>
      <c r="V428" s="153"/>
      <c r="W428" s="153"/>
      <c r="X428" s="153"/>
      <c r="Y428" s="153"/>
      <c r="Z428" s="153"/>
    </row>
    <row r="429" spans="1:33">
      <c r="A429" s="150"/>
      <c r="B429" s="151"/>
      <c r="C429" s="152"/>
      <c r="D429" s="150"/>
      <c r="E429" s="150"/>
      <c r="F429" s="150"/>
      <c r="G429" s="150"/>
      <c r="H429" s="150"/>
      <c r="I429" s="150"/>
      <c r="J429" s="150"/>
      <c r="K429" s="150"/>
      <c r="L429" s="150"/>
      <c r="M429" s="150"/>
      <c r="N429" s="150"/>
      <c r="O429" s="151"/>
      <c r="P429" s="153"/>
      <c r="Q429" s="153"/>
      <c r="R429" s="153"/>
      <c r="S429" s="153"/>
      <c r="T429" s="153"/>
      <c r="U429" s="153"/>
      <c r="V429" s="153"/>
      <c r="W429" s="153"/>
      <c r="X429" s="153"/>
      <c r="Y429" s="153"/>
      <c r="Z429" s="153"/>
    </row>
    <row r="430" spans="1:33">
      <c r="A430" s="150"/>
      <c r="B430" s="151"/>
      <c r="C430" s="152"/>
      <c r="D430" s="150"/>
      <c r="E430" s="150"/>
      <c r="F430" s="150"/>
      <c r="G430" s="150"/>
      <c r="H430" s="150"/>
      <c r="I430" s="150"/>
      <c r="J430" s="150"/>
      <c r="K430" s="150"/>
      <c r="L430" s="150"/>
      <c r="M430" s="150"/>
      <c r="N430" s="150"/>
      <c r="O430" s="151"/>
      <c r="P430" s="153"/>
      <c r="Q430" s="153"/>
      <c r="R430" s="153"/>
      <c r="S430" s="153"/>
      <c r="T430" s="153"/>
      <c r="U430" s="153"/>
      <c r="V430" s="153"/>
      <c r="W430" s="153"/>
      <c r="X430" s="153"/>
      <c r="Y430" s="153"/>
      <c r="Z430" s="153"/>
    </row>
    <row r="431" spans="1:33">
      <c r="A431" s="150"/>
      <c r="B431" s="151"/>
      <c r="C431" s="152"/>
      <c r="D431" s="150"/>
      <c r="E431" s="150"/>
      <c r="F431" s="150"/>
      <c r="G431" s="150"/>
      <c r="H431" s="150"/>
      <c r="I431" s="150"/>
      <c r="J431" s="150"/>
      <c r="K431" s="150"/>
      <c r="L431" s="150"/>
      <c r="M431" s="150"/>
      <c r="N431" s="150"/>
      <c r="O431" s="151"/>
      <c r="P431" s="153"/>
      <c r="Q431" s="153"/>
      <c r="R431" s="153"/>
      <c r="S431" s="153"/>
      <c r="T431" s="153"/>
      <c r="U431" s="153"/>
      <c r="V431" s="153"/>
      <c r="W431" s="153"/>
      <c r="X431" s="153"/>
      <c r="Y431" s="153"/>
      <c r="Z431" s="153"/>
    </row>
    <row r="432" spans="1:33">
      <c r="A432" s="150"/>
      <c r="B432" s="151"/>
      <c r="C432" s="152"/>
      <c r="D432" s="150"/>
      <c r="E432" s="150"/>
      <c r="F432" s="150"/>
      <c r="G432" s="150"/>
      <c r="H432" s="150"/>
      <c r="I432" s="150"/>
      <c r="J432" s="150"/>
      <c r="K432" s="150"/>
      <c r="L432" s="150"/>
      <c r="M432" s="150"/>
      <c r="N432" s="150"/>
      <c r="O432" s="151"/>
      <c r="P432" s="153"/>
      <c r="Q432" s="153"/>
      <c r="R432" s="153"/>
      <c r="S432" s="153"/>
      <c r="T432" s="153"/>
      <c r="U432" s="153"/>
      <c r="V432" s="153"/>
      <c r="W432" s="153"/>
      <c r="X432" s="153"/>
      <c r="Y432" s="153"/>
      <c r="Z432" s="153"/>
    </row>
    <row r="433" spans="1:26">
      <c r="A433" s="150"/>
      <c r="B433" s="151"/>
      <c r="C433" s="152"/>
      <c r="D433" s="150"/>
      <c r="E433" s="150"/>
      <c r="F433" s="150"/>
      <c r="G433" s="150"/>
      <c r="H433" s="150"/>
      <c r="I433" s="150"/>
      <c r="J433" s="150"/>
      <c r="K433" s="150"/>
      <c r="L433" s="150"/>
      <c r="M433" s="150"/>
      <c r="N433" s="150"/>
      <c r="O433" s="151"/>
      <c r="P433" s="153"/>
      <c r="Q433" s="153"/>
      <c r="R433" s="153"/>
      <c r="S433" s="153"/>
      <c r="T433" s="153"/>
      <c r="U433" s="153"/>
      <c r="V433" s="153"/>
      <c r="W433" s="153"/>
      <c r="X433" s="153"/>
      <c r="Y433" s="153"/>
      <c r="Z433" s="153"/>
    </row>
    <row r="434" spans="1:26">
      <c r="A434" s="150"/>
      <c r="B434" s="151"/>
      <c r="C434" s="152"/>
      <c r="D434" s="150"/>
      <c r="E434" s="150"/>
      <c r="F434" s="150"/>
      <c r="G434" s="150"/>
      <c r="H434" s="150"/>
      <c r="I434" s="150"/>
      <c r="J434" s="150"/>
      <c r="K434" s="150"/>
      <c r="L434" s="150"/>
      <c r="M434" s="150"/>
      <c r="N434" s="150"/>
      <c r="O434" s="151"/>
      <c r="P434" s="153"/>
      <c r="Q434" s="153"/>
      <c r="R434" s="153"/>
      <c r="S434" s="153"/>
      <c r="T434" s="153"/>
      <c r="U434" s="153"/>
      <c r="V434" s="153"/>
      <c r="W434" s="153"/>
      <c r="X434" s="153"/>
      <c r="Y434" s="153"/>
      <c r="Z434" s="153"/>
    </row>
    <row r="435" spans="1:26">
      <c r="A435" s="150"/>
      <c r="B435" s="151"/>
      <c r="C435" s="152"/>
      <c r="D435" s="150"/>
      <c r="E435" s="150"/>
      <c r="F435" s="150"/>
      <c r="G435" s="150"/>
      <c r="H435" s="150"/>
      <c r="I435" s="150"/>
      <c r="J435" s="150"/>
      <c r="K435" s="150"/>
      <c r="L435" s="150"/>
      <c r="M435" s="150"/>
      <c r="N435" s="150"/>
      <c r="O435" s="151"/>
      <c r="P435" s="153"/>
      <c r="Q435" s="153"/>
      <c r="R435" s="153"/>
      <c r="S435" s="153"/>
      <c r="T435" s="153"/>
      <c r="U435" s="153"/>
      <c r="V435" s="153"/>
      <c r="W435" s="153"/>
      <c r="X435" s="153"/>
      <c r="Y435" s="153"/>
      <c r="Z435" s="153"/>
    </row>
    <row r="436" spans="1:26">
      <c r="A436" s="150"/>
      <c r="B436" s="151"/>
      <c r="C436" s="152"/>
      <c r="D436" s="150"/>
      <c r="E436" s="150"/>
      <c r="F436" s="150"/>
      <c r="G436" s="150"/>
      <c r="H436" s="150"/>
      <c r="I436" s="150"/>
      <c r="J436" s="150"/>
      <c r="K436" s="150"/>
      <c r="L436" s="150"/>
      <c r="M436" s="150"/>
      <c r="N436" s="150"/>
      <c r="O436" s="151"/>
      <c r="P436" s="153"/>
      <c r="Q436" s="153"/>
      <c r="R436" s="153"/>
      <c r="S436" s="153"/>
      <c r="T436" s="153"/>
      <c r="U436" s="153"/>
      <c r="V436" s="153"/>
      <c r="W436" s="153"/>
      <c r="X436" s="153"/>
      <c r="Y436" s="153"/>
      <c r="Z436" s="153"/>
    </row>
    <row r="437" spans="1:26">
      <c r="A437" s="150"/>
      <c r="B437" s="151"/>
      <c r="C437" s="152"/>
      <c r="D437" s="150"/>
      <c r="E437" s="150"/>
      <c r="F437" s="150"/>
      <c r="G437" s="150"/>
      <c r="H437" s="150"/>
      <c r="I437" s="150"/>
      <c r="J437" s="150"/>
      <c r="K437" s="150"/>
      <c r="L437" s="150"/>
      <c r="M437" s="150"/>
      <c r="N437" s="150"/>
      <c r="O437" s="151"/>
      <c r="P437" s="153"/>
      <c r="Q437" s="153"/>
      <c r="R437" s="153"/>
      <c r="S437" s="153"/>
      <c r="T437" s="153"/>
      <c r="U437" s="153"/>
      <c r="V437" s="153"/>
      <c r="W437" s="153"/>
      <c r="X437" s="153"/>
      <c r="Y437" s="153"/>
      <c r="Z437" s="153"/>
    </row>
    <row r="438" spans="1:26">
      <c r="A438" s="80"/>
      <c r="B438" s="81"/>
      <c r="C438" s="82"/>
      <c r="D438" s="80"/>
      <c r="E438" s="80"/>
      <c r="F438" s="80"/>
      <c r="G438" s="80"/>
      <c r="H438" s="80"/>
      <c r="I438" s="80"/>
      <c r="J438" s="80"/>
      <c r="K438" s="80"/>
      <c r="L438" s="80"/>
      <c r="M438" s="80"/>
      <c r="N438" s="80"/>
      <c r="O438" s="81"/>
      <c r="P438" s="83"/>
      <c r="Q438" s="83"/>
      <c r="R438" s="83"/>
      <c r="S438" s="83"/>
      <c r="T438" s="83"/>
      <c r="U438" s="83"/>
      <c r="V438" s="83"/>
      <c r="W438" s="83"/>
      <c r="X438" s="83"/>
      <c r="Y438" s="83"/>
      <c r="Z438" s="83"/>
    </row>
    <row r="439" spans="1:26">
      <c r="A439" s="80"/>
      <c r="B439" s="81"/>
      <c r="C439" s="82"/>
      <c r="D439" s="80"/>
      <c r="E439" s="80"/>
      <c r="F439" s="80"/>
      <c r="G439" s="80"/>
      <c r="H439" s="80"/>
      <c r="I439" s="80"/>
      <c r="J439" s="80"/>
      <c r="K439" s="80"/>
      <c r="L439" s="80"/>
      <c r="M439" s="80"/>
      <c r="N439" s="80"/>
      <c r="O439" s="81"/>
      <c r="P439" s="83"/>
      <c r="Q439" s="83"/>
      <c r="R439" s="83"/>
      <c r="S439" s="83"/>
      <c r="T439" s="83"/>
      <c r="U439" s="83"/>
      <c r="V439" s="83"/>
      <c r="W439" s="83"/>
      <c r="X439" s="83"/>
      <c r="Y439" s="83"/>
      <c r="Z439" s="83"/>
    </row>
    <row r="440" spans="1:26">
      <c r="A440" s="80"/>
      <c r="B440" s="81"/>
      <c r="C440" s="82"/>
      <c r="D440" s="80"/>
      <c r="E440" s="80"/>
      <c r="F440" s="80"/>
      <c r="G440" s="80"/>
      <c r="H440" s="80"/>
      <c r="I440" s="80"/>
      <c r="J440" s="80"/>
      <c r="K440" s="80"/>
      <c r="L440" s="80"/>
      <c r="M440" s="80"/>
      <c r="N440" s="80"/>
      <c r="O440" s="81"/>
      <c r="P440" s="83"/>
      <c r="Q440" s="83"/>
      <c r="R440" s="83"/>
      <c r="S440" s="83"/>
      <c r="T440" s="83"/>
      <c r="U440" s="83"/>
      <c r="V440" s="83"/>
      <c r="W440" s="83"/>
      <c r="X440" s="83"/>
      <c r="Y440" s="83"/>
      <c r="Z440" s="83"/>
    </row>
    <row r="441" spans="1:26">
      <c r="A441" s="80"/>
      <c r="B441" s="81"/>
      <c r="C441" s="82"/>
      <c r="D441" s="80"/>
      <c r="E441" s="80"/>
      <c r="F441" s="80"/>
      <c r="G441" s="80"/>
      <c r="H441" s="80"/>
      <c r="I441" s="80"/>
      <c r="J441" s="80"/>
      <c r="K441" s="80"/>
      <c r="L441" s="80"/>
      <c r="M441" s="80"/>
      <c r="N441" s="80"/>
      <c r="O441" s="81"/>
      <c r="P441" s="83"/>
      <c r="Q441" s="83"/>
      <c r="R441" s="83"/>
      <c r="S441" s="83"/>
      <c r="T441" s="83"/>
      <c r="U441" s="83"/>
      <c r="V441" s="83"/>
      <c r="W441" s="83"/>
      <c r="X441" s="83"/>
      <c r="Y441" s="83"/>
      <c r="Z441" s="83"/>
    </row>
    <row r="442" spans="1:26">
      <c r="A442" s="80"/>
      <c r="B442" s="81"/>
      <c r="C442" s="82"/>
      <c r="D442" s="80"/>
      <c r="E442" s="80"/>
      <c r="F442" s="80"/>
      <c r="G442" s="80"/>
      <c r="H442" s="80"/>
      <c r="I442" s="80"/>
      <c r="J442" s="80"/>
      <c r="K442" s="80"/>
      <c r="L442" s="80"/>
      <c r="M442" s="80"/>
      <c r="N442" s="80"/>
      <c r="O442" s="81"/>
      <c r="P442" s="83"/>
      <c r="Q442" s="83"/>
      <c r="R442" s="83"/>
      <c r="S442" s="83"/>
      <c r="T442" s="83"/>
      <c r="U442" s="83"/>
      <c r="V442" s="83"/>
      <c r="W442" s="83"/>
      <c r="X442" s="83"/>
      <c r="Y442" s="83"/>
      <c r="Z442" s="83"/>
    </row>
    <row r="443" spans="1:26">
      <c r="A443" s="80"/>
      <c r="B443" s="81"/>
      <c r="C443" s="82"/>
      <c r="D443" s="80"/>
      <c r="E443" s="80"/>
      <c r="F443" s="80"/>
      <c r="G443" s="80"/>
      <c r="H443" s="80"/>
      <c r="I443" s="80"/>
      <c r="J443" s="80"/>
      <c r="K443" s="80"/>
      <c r="L443" s="80"/>
      <c r="M443" s="80"/>
      <c r="N443" s="80"/>
      <c r="O443" s="81"/>
      <c r="P443" s="83"/>
      <c r="Q443" s="83"/>
      <c r="R443" s="83"/>
      <c r="S443" s="83"/>
      <c r="T443" s="83"/>
      <c r="U443" s="83"/>
      <c r="V443" s="83"/>
      <c r="W443" s="83"/>
      <c r="X443" s="83"/>
      <c r="Y443" s="83"/>
      <c r="Z443" s="83"/>
    </row>
    <row r="444" spans="1:26">
      <c r="A444" s="80"/>
      <c r="B444" s="81"/>
      <c r="C444" s="82"/>
      <c r="D444" s="80"/>
      <c r="E444" s="80"/>
      <c r="F444" s="80"/>
      <c r="G444" s="80"/>
      <c r="H444" s="80"/>
      <c r="I444" s="80"/>
      <c r="J444" s="80"/>
      <c r="K444" s="80"/>
      <c r="L444" s="80"/>
      <c r="M444" s="80"/>
      <c r="N444" s="80"/>
      <c r="O444" s="81"/>
      <c r="P444" s="83"/>
      <c r="Q444" s="83"/>
      <c r="R444" s="83"/>
      <c r="S444" s="83"/>
      <c r="T444" s="83"/>
      <c r="U444" s="83"/>
      <c r="V444" s="83"/>
      <c r="W444" s="83"/>
      <c r="X444" s="83"/>
      <c r="Y444" s="83"/>
      <c r="Z444" s="83"/>
    </row>
    <row r="445" spans="1:26">
      <c r="A445" s="80"/>
      <c r="B445" s="81"/>
      <c r="C445" s="82"/>
      <c r="D445" s="80"/>
      <c r="E445" s="80"/>
      <c r="F445" s="80"/>
      <c r="G445" s="80"/>
      <c r="H445" s="80"/>
      <c r="I445" s="80"/>
      <c r="J445" s="80"/>
      <c r="K445" s="80"/>
      <c r="L445" s="80"/>
      <c r="M445" s="80"/>
      <c r="N445" s="80"/>
      <c r="O445" s="81"/>
      <c r="P445" s="83"/>
      <c r="Q445" s="83"/>
      <c r="R445" s="83"/>
      <c r="S445" s="83"/>
      <c r="T445" s="83"/>
      <c r="U445" s="83"/>
      <c r="V445" s="83"/>
      <c r="W445" s="83"/>
      <c r="X445" s="83"/>
      <c r="Y445" s="83"/>
      <c r="Z445" s="83"/>
    </row>
    <row r="446" spans="1:26">
      <c r="A446" s="80"/>
      <c r="B446" s="81"/>
      <c r="C446" s="82"/>
      <c r="D446" s="80"/>
      <c r="E446" s="80"/>
      <c r="F446" s="80"/>
      <c r="G446" s="80"/>
      <c r="H446" s="80"/>
      <c r="I446" s="80"/>
      <c r="J446" s="80"/>
      <c r="K446" s="80"/>
      <c r="L446" s="80"/>
      <c r="M446" s="80"/>
      <c r="N446" s="80"/>
      <c r="O446" s="81"/>
      <c r="P446" s="83"/>
      <c r="Q446" s="83"/>
      <c r="R446" s="83"/>
      <c r="S446" s="83"/>
      <c r="T446" s="83"/>
      <c r="U446" s="83"/>
      <c r="V446" s="83"/>
      <c r="W446" s="83"/>
      <c r="X446" s="83"/>
      <c r="Y446" s="83"/>
      <c r="Z446" s="83"/>
    </row>
    <row r="447" spans="1:26">
      <c r="A447" s="80"/>
      <c r="B447" s="81"/>
      <c r="C447" s="82"/>
      <c r="D447" s="80"/>
      <c r="E447" s="80"/>
      <c r="F447" s="80"/>
      <c r="G447" s="80"/>
      <c r="H447" s="80"/>
      <c r="I447" s="80"/>
      <c r="J447" s="80"/>
      <c r="K447" s="80"/>
      <c r="L447" s="80"/>
      <c r="M447" s="80"/>
      <c r="N447" s="80"/>
      <c r="O447" s="81"/>
      <c r="P447" s="83"/>
      <c r="Q447" s="83"/>
      <c r="R447" s="83"/>
      <c r="S447" s="83"/>
      <c r="T447" s="83"/>
      <c r="U447" s="83"/>
      <c r="V447" s="83"/>
      <c r="W447" s="83"/>
      <c r="X447" s="83"/>
      <c r="Y447" s="83"/>
      <c r="Z447" s="83"/>
    </row>
    <row r="448" spans="1:26">
      <c r="A448" s="80"/>
      <c r="B448" s="81"/>
      <c r="C448" s="82"/>
      <c r="D448" s="80"/>
      <c r="E448" s="80"/>
      <c r="F448" s="80"/>
      <c r="G448" s="80"/>
      <c r="H448" s="80"/>
      <c r="I448" s="80"/>
      <c r="J448" s="80"/>
      <c r="K448" s="80"/>
      <c r="L448" s="80"/>
      <c r="M448" s="80"/>
      <c r="N448" s="80"/>
      <c r="O448" s="81"/>
      <c r="P448" s="83"/>
      <c r="Q448" s="83"/>
      <c r="R448" s="83"/>
      <c r="S448" s="83"/>
      <c r="T448" s="83"/>
      <c r="U448" s="83"/>
      <c r="V448" s="83"/>
      <c r="W448" s="83"/>
      <c r="X448" s="83"/>
      <c r="Y448" s="83"/>
      <c r="Z448" s="83"/>
    </row>
    <row r="449" spans="1:26">
      <c r="A449" s="80"/>
      <c r="B449" s="81"/>
      <c r="C449" s="82"/>
      <c r="D449" s="80"/>
      <c r="E449" s="80"/>
      <c r="F449" s="80"/>
      <c r="G449" s="80"/>
      <c r="H449" s="80"/>
      <c r="I449" s="80"/>
      <c r="J449" s="80"/>
      <c r="K449" s="80"/>
      <c r="L449" s="80"/>
      <c r="M449" s="80"/>
      <c r="N449" s="80"/>
      <c r="O449" s="81"/>
      <c r="P449" s="83"/>
      <c r="Q449" s="83"/>
      <c r="R449" s="83"/>
      <c r="S449" s="83"/>
      <c r="T449" s="83"/>
      <c r="U449" s="83"/>
      <c r="V449" s="83"/>
      <c r="W449" s="83"/>
      <c r="X449" s="83"/>
      <c r="Y449" s="83"/>
      <c r="Z449" s="83"/>
    </row>
    <row r="450" spans="1:26">
      <c r="A450" s="80"/>
      <c r="B450" s="81"/>
      <c r="C450" s="82"/>
      <c r="D450" s="80"/>
      <c r="E450" s="80"/>
      <c r="F450" s="80"/>
      <c r="G450" s="80"/>
      <c r="H450" s="80"/>
      <c r="I450" s="80"/>
      <c r="J450" s="80"/>
      <c r="K450" s="80"/>
      <c r="L450" s="80"/>
      <c r="M450" s="80"/>
      <c r="N450" s="80"/>
      <c r="O450" s="81"/>
      <c r="P450" s="83"/>
      <c r="Q450" s="83"/>
      <c r="R450" s="83"/>
      <c r="S450" s="83"/>
      <c r="T450" s="83"/>
      <c r="U450" s="83"/>
      <c r="V450" s="83"/>
      <c r="W450" s="83"/>
      <c r="X450" s="83"/>
      <c r="Y450" s="83"/>
      <c r="Z450" s="83"/>
    </row>
    <row r="451" spans="1:26">
      <c r="A451" s="80"/>
      <c r="B451" s="81"/>
      <c r="C451" s="82"/>
      <c r="D451" s="80"/>
      <c r="E451" s="80"/>
      <c r="F451" s="80"/>
      <c r="G451" s="80"/>
      <c r="H451" s="80"/>
      <c r="I451" s="80"/>
      <c r="J451" s="80"/>
      <c r="K451" s="80"/>
      <c r="L451" s="80"/>
      <c r="M451" s="80"/>
      <c r="N451" s="80"/>
      <c r="O451" s="81"/>
      <c r="P451" s="83"/>
      <c r="Q451" s="83"/>
      <c r="R451" s="83"/>
      <c r="S451" s="83"/>
      <c r="T451" s="83"/>
      <c r="U451" s="83"/>
      <c r="V451" s="83"/>
      <c r="W451" s="83"/>
      <c r="X451" s="83"/>
      <c r="Y451" s="83"/>
      <c r="Z451" s="83"/>
    </row>
    <row r="452" spans="1:26">
      <c r="A452" s="80"/>
      <c r="B452" s="81"/>
      <c r="C452" s="82"/>
      <c r="D452" s="80"/>
      <c r="E452" s="80"/>
      <c r="F452" s="80"/>
      <c r="G452" s="80"/>
      <c r="H452" s="80"/>
      <c r="I452" s="80"/>
      <c r="J452" s="80"/>
      <c r="K452" s="80"/>
      <c r="L452" s="80"/>
      <c r="M452" s="80"/>
      <c r="N452" s="80"/>
      <c r="O452" s="81"/>
      <c r="P452" s="83"/>
      <c r="Q452" s="83"/>
      <c r="R452" s="83"/>
      <c r="S452" s="83"/>
      <c r="T452" s="83"/>
      <c r="U452" s="83"/>
      <c r="V452" s="83"/>
      <c r="W452" s="83"/>
      <c r="X452" s="83"/>
      <c r="Y452" s="83"/>
      <c r="Z452" s="83"/>
    </row>
    <row r="453" spans="1:26">
      <c r="A453" s="80"/>
      <c r="B453" s="81"/>
      <c r="C453" s="82"/>
      <c r="D453" s="80"/>
      <c r="E453" s="80"/>
      <c r="F453" s="80"/>
      <c r="G453" s="80"/>
      <c r="H453" s="80"/>
      <c r="I453" s="80"/>
      <c r="J453" s="80"/>
      <c r="K453" s="80"/>
      <c r="L453" s="80"/>
      <c r="M453" s="80"/>
      <c r="N453" s="80"/>
      <c r="O453" s="81"/>
      <c r="P453" s="83"/>
      <c r="Q453" s="83"/>
      <c r="R453" s="83"/>
      <c r="S453" s="83"/>
      <c r="T453" s="83"/>
      <c r="U453" s="83"/>
      <c r="V453" s="83"/>
      <c r="W453" s="83"/>
      <c r="X453" s="83"/>
      <c r="Y453" s="83"/>
      <c r="Z453" s="83"/>
    </row>
    <row r="454" spans="1:26">
      <c r="A454" s="80"/>
      <c r="B454" s="81"/>
      <c r="C454" s="82"/>
      <c r="D454" s="80"/>
      <c r="E454" s="80"/>
      <c r="F454" s="80"/>
      <c r="G454" s="80"/>
      <c r="H454" s="80"/>
      <c r="I454" s="80"/>
      <c r="J454" s="80"/>
      <c r="K454" s="80"/>
      <c r="L454" s="80"/>
      <c r="M454" s="80"/>
      <c r="N454" s="80"/>
      <c r="O454" s="81"/>
      <c r="P454" s="83"/>
      <c r="Q454" s="83"/>
      <c r="R454" s="83"/>
      <c r="S454" s="83"/>
      <c r="T454" s="83"/>
      <c r="U454" s="83"/>
      <c r="V454" s="83"/>
      <c r="W454" s="83"/>
      <c r="X454" s="83"/>
      <c r="Y454" s="83"/>
      <c r="Z454" s="83"/>
    </row>
    <row r="455" spans="1:26">
      <c r="A455" s="80"/>
      <c r="B455" s="81"/>
      <c r="C455" s="82"/>
      <c r="D455" s="80"/>
      <c r="E455" s="80"/>
      <c r="F455" s="80"/>
      <c r="G455" s="80"/>
      <c r="H455" s="80"/>
      <c r="I455" s="80"/>
      <c r="J455" s="80"/>
      <c r="K455" s="80"/>
      <c r="L455" s="80"/>
      <c r="M455" s="80"/>
      <c r="N455" s="80"/>
      <c r="O455" s="81"/>
      <c r="P455" s="83"/>
      <c r="Q455" s="83"/>
      <c r="R455" s="83"/>
      <c r="S455" s="83"/>
      <c r="T455" s="83"/>
      <c r="U455" s="83"/>
      <c r="V455" s="83"/>
      <c r="W455" s="83"/>
      <c r="X455" s="83"/>
      <c r="Y455" s="83"/>
      <c r="Z455" s="83"/>
    </row>
    <row r="456" spans="1:26">
      <c r="A456" s="80"/>
      <c r="B456" s="81"/>
      <c r="C456" s="82"/>
      <c r="D456" s="80"/>
      <c r="E456" s="80"/>
      <c r="F456" s="80"/>
      <c r="G456" s="80"/>
      <c r="H456" s="80"/>
      <c r="I456" s="80"/>
      <c r="J456" s="80"/>
      <c r="K456" s="80"/>
      <c r="L456" s="80"/>
      <c r="M456" s="80"/>
      <c r="N456" s="80"/>
      <c r="O456" s="81"/>
      <c r="P456" s="83"/>
      <c r="Q456" s="83"/>
      <c r="R456" s="83"/>
      <c r="S456" s="83"/>
      <c r="T456" s="83"/>
      <c r="U456" s="83"/>
      <c r="V456" s="83"/>
      <c r="W456" s="83"/>
      <c r="X456" s="83"/>
      <c r="Y456" s="83"/>
      <c r="Z456" s="83"/>
    </row>
    <row r="457" spans="1:26">
      <c r="A457" s="80"/>
      <c r="B457" s="81"/>
      <c r="C457" s="82"/>
      <c r="D457" s="80"/>
      <c r="E457" s="80"/>
      <c r="F457" s="80"/>
      <c r="G457" s="80"/>
      <c r="H457" s="80"/>
      <c r="I457" s="80"/>
      <c r="J457" s="80"/>
      <c r="K457" s="80"/>
      <c r="L457" s="80"/>
      <c r="M457" s="80"/>
      <c r="N457" s="80"/>
      <c r="O457" s="81"/>
      <c r="P457" s="83"/>
      <c r="Q457" s="83"/>
      <c r="R457" s="83"/>
      <c r="S457" s="83"/>
      <c r="T457" s="83"/>
      <c r="U457" s="83"/>
      <c r="V457" s="83"/>
      <c r="W457" s="83"/>
      <c r="X457" s="83"/>
      <c r="Y457" s="83"/>
      <c r="Z457" s="83"/>
    </row>
    <row r="458" spans="1:26">
      <c r="A458" s="80"/>
      <c r="B458" s="81"/>
      <c r="C458" s="82"/>
      <c r="D458" s="80"/>
      <c r="E458" s="80"/>
      <c r="F458" s="80"/>
      <c r="G458" s="80"/>
      <c r="H458" s="80"/>
      <c r="I458" s="80"/>
      <c r="J458" s="80"/>
      <c r="K458" s="80"/>
      <c r="L458" s="80"/>
      <c r="M458" s="80"/>
      <c r="N458" s="80"/>
      <c r="O458" s="81"/>
      <c r="P458" s="83"/>
      <c r="Q458" s="83"/>
      <c r="R458" s="83"/>
      <c r="S458" s="83"/>
      <c r="T458" s="83"/>
      <c r="U458" s="83"/>
      <c r="V458" s="83"/>
      <c r="W458" s="83"/>
      <c r="X458" s="83"/>
      <c r="Y458" s="83"/>
      <c r="Z458" s="83"/>
    </row>
    <row r="459" spans="1:26">
      <c r="A459" s="80"/>
      <c r="B459" s="81"/>
      <c r="C459" s="82"/>
      <c r="D459" s="80"/>
      <c r="E459" s="80"/>
      <c r="F459" s="80"/>
      <c r="G459" s="80"/>
      <c r="H459" s="80"/>
      <c r="I459" s="80"/>
      <c r="J459" s="80"/>
      <c r="K459" s="80"/>
      <c r="L459" s="80"/>
      <c r="M459" s="80"/>
      <c r="N459" s="80"/>
      <c r="O459" s="81"/>
      <c r="P459" s="83"/>
      <c r="Q459" s="83"/>
      <c r="R459" s="83"/>
      <c r="S459" s="83"/>
      <c r="T459" s="83"/>
      <c r="U459" s="83"/>
      <c r="V459" s="83"/>
      <c r="W459" s="83"/>
      <c r="X459" s="83"/>
      <c r="Y459" s="83"/>
      <c r="Z459" s="83"/>
    </row>
    <row r="460" spans="1:26">
      <c r="A460" s="80"/>
      <c r="B460" s="81"/>
      <c r="C460" s="82"/>
      <c r="D460" s="80"/>
      <c r="E460" s="80"/>
      <c r="F460" s="80"/>
      <c r="G460" s="80"/>
      <c r="H460" s="80"/>
      <c r="I460" s="80"/>
      <c r="J460" s="80"/>
      <c r="K460" s="80"/>
      <c r="L460" s="80"/>
      <c r="M460" s="80"/>
      <c r="N460" s="80"/>
      <c r="O460" s="81"/>
      <c r="P460" s="83"/>
      <c r="Q460" s="83"/>
      <c r="R460" s="83"/>
      <c r="S460" s="83"/>
      <c r="T460" s="83"/>
      <c r="U460" s="83"/>
      <c r="V460" s="83"/>
      <c r="W460" s="83"/>
      <c r="X460" s="83"/>
      <c r="Y460" s="83"/>
      <c r="Z460" s="83"/>
    </row>
    <row r="461" spans="1:26">
      <c r="A461" s="80"/>
      <c r="B461" s="81"/>
      <c r="C461" s="82"/>
      <c r="D461" s="80"/>
      <c r="E461" s="80"/>
      <c r="F461" s="80"/>
      <c r="G461" s="80"/>
      <c r="H461" s="80"/>
      <c r="I461" s="80"/>
      <c r="J461" s="80"/>
      <c r="K461" s="80"/>
      <c r="L461" s="80"/>
      <c r="M461" s="80"/>
      <c r="N461" s="80"/>
      <c r="O461" s="81"/>
      <c r="P461" s="83"/>
      <c r="Q461" s="83"/>
      <c r="R461" s="83"/>
      <c r="S461" s="83"/>
      <c r="T461" s="83"/>
      <c r="U461" s="83"/>
      <c r="V461" s="83"/>
      <c r="W461" s="83"/>
      <c r="X461" s="83"/>
      <c r="Y461" s="83"/>
      <c r="Z461" s="83"/>
    </row>
    <row r="462" spans="1:26">
      <c r="A462" s="80"/>
      <c r="B462" s="81"/>
      <c r="C462" s="82"/>
      <c r="D462" s="80"/>
      <c r="E462" s="80"/>
      <c r="F462" s="80"/>
      <c r="G462" s="80"/>
      <c r="H462" s="80"/>
      <c r="I462" s="80"/>
      <c r="J462" s="80"/>
      <c r="K462" s="80"/>
      <c r="L462" s="80"/>
      <c r="M462" s="80"/>
      <c r="N462" s="80"/>
      <c r="O462" s="81"/>
      <c r="P462" s="83"/>
      <c r="Q462" s="83"/>
      <c r="R462" s="83"/>
      <c r="S462" s="83"/>
      <c r="T462" s="83"/>
      <c r="U462" s="83"/>
      <c r="V462" s="83"/>
      <c r="W462" s="83"/>
      <c r="X462" s="83"/>
      <c r="Y462" s="83"/>
      <c r="Z462" s="83"/>
    </row>
    <row r="463" spans="1:26">
      <c r="A463" s="80"/>
      <c r="B463" s="81"/>
      <c r="C463" s="82"/>
      <c r="D463" s="80"/>
      <c r="E463" s="80"/>
      <c r="F463" s="80"/>
      <c r="G463" s="80"/>
      <c r="H463" s="80"/>
      <c r="I463" s="80"/>
      <c r="J463" s="80"/>
      <c r="K463" s="80"/>
      <c r="L463" s="80"/>
      <c r="M463" s="80"/>
      <c r="N463" s="80"/>
      <c r="O463" s="81"/>
      <c r="P463" s="83"/>
      <c r="Q463" s="83"/>
      <c r="R463" s="83"/>
      <c r="S463" s="83"/>
      <c r="T463" s="83"/>
      <c r="U463" s="83"/>
      <c r="V463" s="83"/>
      <c r="W463" s="83"/>
      <c r="X463" s="83"/>
      <c r="Y463" s="83"/>
      <c r="Z463" s="83"/>
    </row>
    <row r="464" spans="1:26">
      <c r="A464" s="80"/>
      <c r="B464" s="81"/>
      <c r="C464" s="82"/>
      <c r="D464" s="80"/>
      <c r="E464" s="80"/>
      <c r="F464" s="80"/>
      <c r="G464" s="80"/>
      <c r="H464" s="80"/>
      <c r="I464" s="80"/>
      <c r="J464" s="80"/>
      <c r="K464" s="80"/>
      <c r="L464" s="80"/>
      <c r="M464" s="80"/>
      <c r="N464" s="80"/>
      <c r="O464" s="81"/>
      <c r="P464" s="83"/>
      <c r="Q464" s="83"/>
      <c r="R464" s="83"/>
      <c r="S464" s="83"/>
      <c r="T464" s="83"/>
      <c r="U464" s="83"/>
      <c r="V464" s="83"/>
      <c r="W464" s="83"/>
      <c r="X464" s="83"/>
      <c r="Y464" s="83"/>
      <c r="Z464" s="83"/>
    </row>
    <row r="465" spans="1:26">
      <c r="A465" s="80"/>
      <c r="B465" s="81"/>
      <c r="C465" s="82"/>
      <c r="D465" s="80"/>
      <c r="E465" s="80"/>
      <c r="F465" s="80"/>
      <c r="G465" s="80"/>
      <c r="H465" s="80"/>
      <c r="I465" s="80"/>
      <c r="J465" s="80"/>
      <c r="K465" s="80"/>
      <c r="L465" s="80"/>
      <c r="M465" s="80"/>
      <c r="N465" s="80"/>
      <c r="O465" s="81"/>
      <c r="P465" s="83"/>
      <c r="Q465" s="83"/>
      <c r="R465" s="83"/>
      <c r="S465" s="83"/>
      <c r="T465" s="83"/>
      <c r="U465" s="83"/>
      <c r="V465" s="83"/>
      <c r="W465" s="83"/>
      <c r="X465" s="83"/>
      <c r="Y465" s="83"/>
      <c r="Z465" s="83"/>
    </row>
    <row r="466" spans="1:26">
      <c r="A466" s="80"/>
      <c r="B466" s="81"/>
      <c r="C466" s="82"/>
      <c r="D466" s="80"/>
      <c r="E466" s="80"/>
      <c r="F466" s="80"/>
      <c r="G466" s="80"/>
      <c r="H466" s="80"/>
      <c r="I466" s="80"/>
      <c r="J466" s="80"/>
      <c r="K466" s="80"/>
      <c r="L466" s="80"/>
      <c r="M466" s="80"/>
      <c r="N466" s="80"/>
      <c r="O466" s="81"/>
      <c r="P466" s="83"/>
      <c r="Q466" s="83"/>
      <c r="R466" s="83"/>
      <c r="S466" s="83"/>
      <c r="T466" s="83"/>
      <c r="U466" s="83"/>
      <c r="V466" s="83"/>
      <c r="W466" s="83"/>
      <c r="X466" s="83"/>
      <c r="Y466" s="83"/>
      <c r="Z466" s="83"/>
    </row>
    <row r="467" spans="1:26">
      <c r="A467" s="80"/>
      <c r="B467" s="81"/>
      <c r="C467" s="82"/>
      <c r="D467" s="80"/>
      <c r="E467" s="80"/>
      <c r="F467" s="80"/>
      <c r="G467" s="80"/>
      <c r="H467" s="80"/>
      <c r="I467" s="80"/>
      <c r="J467" s="80"/>
      <c r="K467" s="80"/>
      <c r="L467" s="80"/>
      <c r="M467" s="80"/>
      <c r="N467" s="80"/>
      <c r="O467" s="81"/>
      <c r="P467" s="83"/>
      <c r="Q467" s="83"/>
      <c r="R467" s="83"/>
      <c r="S467" s="83"/>
      <c r="T467" s="83"/>
      <c r="U467" s="83"/>
      <c r="V467" s="83"/>
      <c r="W467" s="83"/>
      <c r="X467" s="83"/>
      <c r="Y467" s="83"/>
      <c r="Z467" s="83"/>
    </row>
    <row r="468" spans="1:26">
      <c r="A468" s="80"/>
      <c r="B468" s="81"/>
      <c r="C468" s="82"/>
      <c r="D468" s="80"/>
      <c r="E468" s="80"/>
      <c r="F468" s="80"/>
      <c r="G468" s="80"/>
      <c r="H468" s="80"/>
      <c r="I468" s="80"/>
      <c r="J468" s="80"/>
      <c r="K468" s="80"/>
      <c r="L468" s="80"/>
      <c r="M468" s="80"/>
      <c r="N468" s="80"/>
      <c r="O468" s="81"/>
      <c r="P468" s="83"/>
      <c r="Q468" s="83"/>
      <c r="R468" s="83"/>
      <c r="S468" s="83"/>
      <c r="T468" s="83"/>
      <c r="U468" s="83"/>
      <c r="V468" s="83"/>
      <c r="W468" s="83"/>
      <c r="X468" s="83"/>
      <c r="Y468" s="83"/>
      <c r="Z468" s="83"/>
    </row>
    <row r="469" spans="1:26">
      <c r="A469" s="80"/>
      <c r="B469" s="81"/>
      <c r="C469" s="82"/>
      <c r="D469" s="80"/>
      <c r="E469" s="80"/>
      <c r="F469" s="80"/>
      <c r="G469" s="80"/>
      <c r="H469" s="80"/>
      <c r="I469" s="80"/>
      <c r="J469" s="80"/>
      <c r="K469" s="80"/>
      <c r="L469" s="80"/>
      <c r="M469" s="80"/>
      <c r="N469" s="80"/>
      <c r="O469" s="81"/>
      <c r="P469" s="83"/>
      <c r="Q469" s="83"/>
      <c r="R469" s="83"/>
      <c r="S469" s="83"/>
      <c r="T469" s="83"/>
      <c r="U469" s="83"/>
      <c r="V469" s="83"/>
      <c r="W469" s="83"/>
      <c r="X469" s="83"/>
      <c r="Y469" s="83"/>
      <c r="Z469" s="83"/>
    </row>
    <row r="470" spans="1:26">
      <c r="A470" s="80"/>
      <c r="B470" s="81"/>
      <c r="C470" s="82"/>
      <c r="D470" s="80"/>
      <c r="E470" s="80"/>
      <c r="F470" s="80"/>
      <c r="G470" s="80"/>
      <c r="H470" s="80"/>
      <c r="I470" s="80"/>
      <c r="J470" s="80"/>
      <c r="K470" s="80"/>
      <c r="L470" s="80"/>
      <c r="M470" s="80"/>
      <c r="N470" s="80"/>
      <c r="O470" s="81"/>
      <c r="P470" s="83"/>
      <c r="Q470" s="83"/>
      <c r="R470" s="83"/>
      <c r="S470" s="83"/>
      <c r="T470" s="83"/>
      <c r="U470" s="83"/>
      <c r="V470" s="83"/>
      <c r="W470" s="83"/>
      <c r="X470" s="83"/>
      <c r="Y470" s="83"/>
      <c r="Z470" s="83"/>
    </row>
    <row r="471" spans="1:26">
      <c r="A471" s="80"/>
      <c r="B471" s="81"/>
      <c r="C471" s="82"/>
      <c r="D471" s="80"/>
      <c r="E471" s="80"/>
      <c r="F471" s="80"/>
      <c r="G471" s="80"/>
      <c r="H471" s="80"/>
      <c r="I471" s="80"/>
      <c r="J471" s="80"/>
      <c r="K471" s="80"/>
      <c r="L471" s="80"/>
      <c r="M471" s="80"/>
      <c r="N471" s="80"/>
      <c r="O471" s="81"/>
      <c r="P471" s="83"/>
      <c r="Q471" s="83"/>
      <c r="R471" s="83"/>
      <c r="S471" s="83"/>
      <c r="T471" s="83"/>
      <c r="U471" s="83"/>
      <c r="V471" s="83"/>
      <c r="W471" s="83"/>
      <c r="X471" s="83"/>
      <c r="Y471" s="83"/>
      <c r="Z471" s="83"/>
    </row>
    <row r="472" spans="1:26">
      <c r="A472" s="80"/>
      <c r="B472" s="81"/>
      <c r="C472" s="82"/>
      <c r="D472" s="80"/>
      <c r="E472" s="80"/>
      <c r="F472" s="80"/>
      <c r="G472" s="80"/>
      <c r="H472" s="80"/>
      <c r="I472" s="80"/>
      <c r="J472" s="80"/>
      <c r="K472" s="80"/>
      <c r="L472" s="80"/>
      <c r="M472" s="80"/>
      <c r="N472" s="80"/>
      <c r="O472" s="81"/>
      <c r="P472" s="83"/>
      <c r="Q472" s="83"/>
      <c r="R472" s="83"/>
      <c r="S472" s="83"/>
      <c r="T472" s="83"/>
      <c r="U472" s="83"/>
      <c r="V472" s="83"/>
      <c r="W472" s="83"/>
      <c r="X472" s="83"/>
      <c r="Y472" s="83"/>
      <c r="Z472" s="83"/>
    </row>
    <row r="473" spans="1:26">
      <c r="A473" s="80"/>
      <c r="B473" s="81"/>
      <c r="C473" s="82"/>
      <c r="D473" s="80"/>
      <c r="E473" s="80"/>
      <c r="F473" s="80"/>
      <c r="G473" s="80"/>
      <c r="H473" s="80"/>
      <c r="I473" s="80"/>
      <c r="J473" s="80"/>
      <c r="K473" s="80"/>
      <c r="L473" s="80"/>
      <c r="M473" s="80"/>
      <c r="N473" s="80"/>
      <c r="O473" s="81"/>
      <c r="P473" s="83"/>
      <c r="Q473" s="83"/>
      <c r="R473" s="83"/>
      <c r="S473" s="83"/>
      <c r="T473" s="83"/>
      <c r="U473" s="83"/>
      <c r="V473" s="83"/>
      <c r="W473" s="83"/>
      <c r="X473" s="83"/>
      <c r="Y473" s="83"/>
      <c r="Z473" s="83"/>
    </row>
    <row r="474" spans="1:26">
      <c r="A474" s="80"/>
      <c r="B474" s="81"/>
      <c r="C474" s="82"/>
      <c r="D474" s="80"/>
      <c r="E474" s="80"/>
      <c r="F474" s="80"/>
      <c r="G474" s="80"/>
      <c r="H474" s="80"/>
      <c r="I474" s="80"/>
      <c r="J474" s="80"/>
      <c r="K474" s="80"/>
      <c r="L474" s="80"/>
      <c r="M474" s="80"/>
      <c r="N474" s="80"/>
      <c r="O474" s="81"/>
      <c r="P474" s="83"/>
      <c r="Q474" s="83"/>
      <c r="R474" s="83"/>
      <c r="S474" s="83"/>
      <c r="T474" s="83"/>
      <c r="U474" s="83"/>
      <c r="V474" s="83"/>
      <c r="W474" s="83"/>
      <c r="X474" s="83"/>
      <c r="Y474" s="83"/>
      <c r="Z474" s="83"/>
    </row>
    <row r="475" spans="1:26">
      <c r="A475" s="80"/>
      <c r="B475" s="81"/>
      <c r="C475" s="82"/>
      <c r="D475" s="80"/>
      <c r="E475" s="80"/>
      <c r="F475" s="80"/>
      <c r="G475" s="80"/>
      <c r="H475" s="80"/>
      <c r="I475" s="80"/>
      <c r="J475" s="80"/>
      <c r="K475" s="80"/>
      <c r="L475" s="80"/>
      <c r="M475" s="80"/>
      <c r="N475" s="80"/>
      <c r="O475" s="81"/>
      <c r="P475" s="83"/>
      <c r="Q475" s="83"/>
      <c r="R475" s="83"/>
      <c r="S475" s="83"/>
      <c r="T475" s="83"/>
      <c r="U475" s="83"/>
      <c r="V475" s="83"/>
      <c r="W475" s="83"/>
      <c r="X475" s="83"/>
      <c r="Y475" s="83"/>
      <c r="Z475" s="83"/>
    </row>
    <row r="476" spans="1:26">
      <c r="A476" s="80"/>
      <c r="B476" s="81"/>
      <c r="C476" s="82"/>
      <c r="D476" s="80"/>
      <c r="E476" s="80"/>
      <c r="F476" s="80"/>
      <c r="G476" s="80"/>
      <c r="H476" s="80"/>
      <c r="I476" s="80"/>
      <c r="J476" s="80"/>
      <c r="K476" s="80"/>
      <c r="L476" s="80"/>
      <c r="M476" s="80"/>
      <c r="N476" s="80"/>
      <c r="O476" s="81"/>
      <c r="P476" s="83"/>
      <c r="Q476" s="83"/>
      <c r="R476" s="83"/>
      <c r="S476" s="83"/>
      <c r="T476" s="83"/>
      <c r="U476" s="83"/>
      <c r="V476" s="83"/>
      <c r="W476" s="83"/>
      <c r="X476" s="83"/>
      <c r="Y476" s="83"/>
      <c r="Z476" s="83"/>
    </row>
    <row r="477" spans="1:26">
      <c r="A477" s="80"/>
      <c r="B477" s="81"/>
      <c r="C477" s="82"/>
      <c r="D477" s="80"/>
      <c r="E477" s="80"/>
      <c r="F477" s="80"/>
      <c r="G477" s="80"/>
      <c r="H477" s="80"/>
      <c r="I477" s="80"/>
      <c r="J477" s="80"/>
      <c r="K477" s="80"/>
      <c r="L477" s="80"/>
      <c r="M477" s="80"/>
      <c r="N477" s="80"/>
      <c r="O477" s="81"/>
      <c r="P477" s="83"/>
      <c r="Q477" s="83"/>
      <c r="R477" s="83"/>
      <c r="S477" s="83"/>
      <c r="T477" s="83"/>
      <c r="U477" s="83"/>
      <c r="V477" s="83"/>
      <c r="W477" s="83"/>
      <c r="X477" s="83"/>
      <c r="Y477" s="83"/>
      <c r="Z477" s="83"/>
    </row>
    <row r="478" spans="1:26">
      <c r="A478" s="80"/>
      <c r="B478" s="81"/>
      <c r="C478" s="82"/>
      <c r="D478" s="80"/>
      <c r="E478" s="80"/>
      <c r="F478" s="80"/>
      <c r="G478" s="80"/>
      <c r="H478" s="80"/>
      <c r="I478" s="80"/>
      <c r="J478" s="80"/>
      <c r="K478" s="80"/>
      <c r="L478" s="80"/>
      <c r="M478" s="80"/>
      <c r="N478" s="80"/>
      <c r="O478" s="81"/>
      <c r="P478" s="83"/>
      <c r="Q478" s="83"/>
      <c r="R478" s="83"/>
      <c r="S478" s="83"/>
      <c r="T478" s="83"/>
      <c r="U478" s="83"/>
      <c r="V478" s="83"/>
      <c r="W478" s="83"/>
      <c r="X478" s="83"/>
      <c r="Y478" s="83"/>
      <c r="Z478" s="83"/>
    </row>
    <row r="479" spans="1:26">
      <c r="A479" s="80"/>
      <c r="B479" s="81"/>
      <c r="C479" s="82"/>
      <c r="D479" s="80"/>
      <c r="E479" s="80"/>
      <c r="F479" s="80"/>
      <c r="G479" s="80"/>
      <c r="H479" s="80"/>
      <c r="I479" s="80"/>
      <c r="J479" s="80"/>
      <c r="K479" s="80"/>
      <c r="L479" s="80"/>
      <c r="M479" s="80"/>
      <c r="N479" s="80"/>
      <c r="O479" s="81"/>
      <c r="P479" s="83"/>
      <c r="Q479" s="83"/>
      <c r="R479" s="83"/>
      <c r="S479" s="83"/>
      <c r="T479" s="83"/>
      <c r="U479" s="83"/>
      <c r="V479" s="83"/>
      <c r="W479" s="83"/>
      <c r="X479" s="83"/>
      <c r="Y479" s="83"/>
      <c r="Z479" s="83"/>
    </row>
    <row r="480" spans="1:26">
      <c r="A480" s="80"/>
      <c r="B480" s="81"/>
      <c r="C480" s="82"/>
      <c r="D480" s="80"/>
      <c r="E480" s="80"/>
      <c r="F480" s="80"/>
      <c r="G480" s="80"/>
      <c r="H480" s="80"/>
      <c r="I480" s="80"/>
      <c r="J480" s="80"/>
      <c r="K480" s="80"/>
      <c r="L480" s="80"/>
      <c r="M480" s="80"/>
      <c r="N480" s="80"/>
      <c r="O480" s="81"/>
      <c r="P480" s="83"/>
      <c r="Q480" s="83"/>
      <c r="R480" s="83"/>
      <c r="S480" s="83"/>
      <c r="T480" s="83"/>
      <c r="U480" s="83"/>
      <c r="V480" s="83"/>
      <c r="W480" s="83"/>
      <c r="X480" s="83"/>
      <c r="Y480" s="83"/>
      <c r="Z480" s="83"/>
    </row>
    <row r="481" spans="1:26">
      <c r="A481" s="80"/>
      <c r="B481" s="81"/>
      <c r="C481" s="82"/>
      <c r="D481" s="80"/>
      <c r="E481" s="80"/>
      <c r="F481" s="80"/>
      <c r="G481" s="80"/>
      <c r="H481" s="80"/>
      <c r="I481" s="80"/>
      <c r="J481" s="80"/>
      <c r="K481" s="80"/>
      <c r="L481" s="80"/>
      <c r="M481" s="80"/>
      <c r="N481" s="80"/>
      <c r="O481" s="81"/>
      <c r="P481" s="83"/>
      <c r="Q481" s="83"/>
      <c r="R481" s="83"/>
      <c r="S481" s="83"/>
      <c r="T481" s="83"/>
      <c r="U481" s="83"/>
      <c r="V481" s="83"/>
      <c r="W481" s="83"/>
      <c r="X481" s="83"/>
      <c r="Y481" s="83"/>
      <c r="Z481" s="83"/>
    </row>
    <row r="482" spans="1:26">
      <c r="A482" s="80"/>
      <c r="B482" s="81"/>
      <c r="C482" s="82"/>
      <c r="D482" s="80"/>
      <c r="E482" s="80"/>
      <c r="F482" s="80"/>
      <c r="G482" s="80"/>
      <c r="H482" s="80"/>
      <c r="I482" s="80"/>
      <c r="J482" s="80"/>
      <c r="K482" s="80"/>
      <c r="L482" s="80"/>
      <c r="M482" s="80"/>
      <c r="N482" s="80"/>
      <c r="O482" s="81"/>
      <c r="P482" s="83"/>
      <c r="Q482" s="83"/>
      <c r="R482" s="83"/>
      <c r="S482" s="83"/>
      <c r="T482" s="83"/>
      <c r="U482" s="83"/>
      <c r="V482" s="83"/>
      <c r="W482" s="83"/>
      <c r="X482" s="83"/>
      <c r="Y482" s="83"/>
      <c r="Z482" s="83"/>
    </row>
    <row r="483" spans="1:26">
      <c r="A483" s="80"/>
      <c r="B483" s="81"/>
      <c r="C483" s="82"/>
      <c r="D483" s="80"/>
      <c r="E483" s="80"/>
      <c r="F483" s="80"/>
      <c r="G483" s="80"/>
      <c r="H483" s="80"/>
      <c r="I483" s="80"/>
      <c r="J483" s="80"/>
      <c r="K483" s="80"/>
      <c r="L483" s="80"/>
      <c r="M483" s="80"/>
      <c r="N483" s="80"/>
      <c r="O483" s="81"/>
      <c r="P483" s="83"/>
      <c r="Q483" s="83"/>
      <c r="R483" s="83"/>
      <c r="S483" s="83"/>
      <c r="T483" s="83"/>
      <c r="U483" s="83"/>
      <c r="V483" s="83"/>
      <c r="W483" s="83"/>
      <c r="X483" s="83"/>
      <c r="Y483" s="83"/>
      <c r="Z483" s="83"/>
    </row>
    <row r="484" spans="1:26">
      <c r="A484" s="80"/>
      <c r="B484" s="81"/>
      <c r="C484" s="82"/>
      <c r="D484" s="80"/>
      <c r="E484" s="80"/>
      <c r="F484" s="80"/>
      <c r="G484" s="80"/>
      <c r="H484" s="80"/>
      <c r="I484" s="80"/>
      <c r="J484" s="80"/>
      <c r="K484" s="80"/>
      <c r="L484" s="80"/>
      <c r="M484" s="80"/>
      <c r="N484" s="80"/>
      <c r="O484" s="81"/>
      <c r="P484" s="83"/>
      <c r="Q484" s="83"/>
      <c r="R484" s="83"/>
      <c r="S484" s="83"/>
      <c r="T484" s="83"/>
      <c r="U484" s="83"/>
      <c r="V484" s="83"/>
      <c r="W484" s="83"/>
      <c r="X484" s="83"/>
      <c r="Y484" s="83"/>
      <c r="Z484" s="83"/>
    </row>
    <row r="485" spans="1:26">
      <c r="A485" s="80"/>
      <c r="B485" s="81"/>
      <c r="C485" s="82"/>
      <c r="D485" s="80"/>
      <c r="E485" s="80"/>
      <c r="F485" s="80"/>
      <c r="G485" s="80"/>
      <c r="H485" s="80"/>
      <c r="I485" s="80"/>
      <c r="J485" s="80"/>
      <c r="K485" s="80"/>
      <c r="L485" s="80"/>
      <c r="M485" s="80"/>
      <c r="N485" s="80"/>
      <c r="O485" s="81"/>
      <c r="P485" s="83"/>
      <c r="Q485" s="83"/>
      <c r="R485" s="83"/>
      <c r="S485" s="83"/>
      <c r="T485" s="83"/>
      <c r="U485" s="83"/>
      <c r="V485" s="83"/>
      <c r="W485" s="83"/>
      <c r="X485" s="83"/>
      <c r="Y485" s="83"/>
      <c r="Z485" s="83"/>
    </row>
    <row r="486" spans="1:26">
      <c r="A486" s="80"/>
      <c r="B486" s="81"/>
      <c r="C486" s="82"/>
      <c r="D486" s="80"/>
      <c r="E486" s="80"/>
      <c r="F486" s="80"/>
      <c r="G486" s="80"/>
      <c r="H486" s="80"/>
      <c r="I486" s="80"/>
      <c r="J486" s="80"/>
      <c r="K486" s="80"/>
      <c r="L486" s="80"/>
      <c r="M486" s="80"/>
      <c r="N486" s="80"/>
      <c r="O486" s="81"/>
      <c r="P486" s="83"/>
      <c r="Q486" s="83"/>
      <c r="R486" s="83"/>
      <c r="S486" s="83"/>
      <c r="T486" s="83"/>
      <c r="U486" s="83"/>
      <c r="V486" s="83"/>
      <c r="W486" s="83"/>
      <c r="X486" s="83"/>
      <c r="Y486" s="83"/>
      <c r="Z486" s="83"/>
    </row>
    <row r="487" spans="1:26">
      <c r="A487" s="80"/>
      <c r="B487" s="81"/>
      <c r="C487" s="82"/>
      <c r="D487" s="80"/>
      <c r="E487" s="80"/>
      <c r="F487" s="80"/>
      <c r="G487" s="80"/>
      <c r="H487" s="80"/>
      <c r="I487" s="80"/>
      <c r="J487" s="80"/>
      <c r="K487" s="80"/>
      <c r="L487" s="80"/>
      <c r="M487" s="80"/>
      <c r="N487" s="80"/>
      <c r="O487" s="81"/>
      <c r="P487" s="83"/>
      <c r="Q487" s="83"/>
      <c r="R487" s="83"/>
      <c r="S487" s="83"/>
      <c r="T487" s="83"/>
      <c r="U487" s="83"/>
      <c r="V487" s="83"/>
      <c r="W487" s="83"/>
      <c r="X487" s="83"/>
      <c r="Y487" s="83"/>
      <c r="Z487" s="83"/>
    </row>
    <row r="488" spans="1:26">
      <c r="A488" s="80"/>
      <c r="B488" s="81"/>
      <c r="C488" s="82"/>
      <c r="D488" s="80"/>
      <c r="E488" s="80"/>
      <c r="F488" s="80"/>
      <c r="G488" s="80"/>
      <c r="H488" s="80"/>
      <c r="I488" s="80"/>
      <c r="J488" s="80"/>
      <c r="K488" s="80"/>
      <c r="L488" s="80"/>
      <c r="M488" s="80"/>
      <c r="N488" s="80"/>
      <c r="O488" s="81"/>
      <c r="P488" s="83"/>
      <c r="Q488" s="83"/>
      <c r="R488" s="83"/>
      <c r="S488" s="83"/>
      <c r="T488" s="83"/>
      <c r="U488" s="83"/>
      <c r="V488" s="83"/>
      <c r="W488" s="83"/>
      <c r="X488" s="83"/>
      <c r="Y488" s="83"/>
      <c r="Z488" s="83"/>
    </row>
    <row r="489" spans="1:26">
      <c r="A489" s="80"/>
      <c r="B489" s="81"/>
      <c r="C489" s="82"/>
      <c r="D489" s="80"/>
      <c r="E489" s="80"/>
      <c r="F489" s="80"/>
      <c r="G489" s="80"/>
      <c r="H489" s="80"/>
      <c r="I489" s="80"/>
      <c r="J489" s="80"/>
      <c r="K489" s="80"/>
      <c r="L489" s="80"/>
      <c r="M489" s="80"/>
      <c r="N489" s="80"/>
      <c r="O489" s="81"/>
      <c r="P489" s="83"/>
      <c r="Q489" s="83"/>
      <c r="R489" s="83"/>
      <c r="S489" s="83"/>
      <c r="T489" s="83"/>
      <c r="U489" s="83"/>
      <c r="V489" s="83"/>
      <c r="W489" s="83"/>
      <c r="X489" s="83"/>
      <c r="Y489" s="83"/>
      <c r="Z489" s="83"/>
    </row>
  </sheetData>
  <autoFilter ref="A4:AG297"/>
  <pageMargins left="0.78740157480314998" right="0.78740157480314998" top="0.78740157480314998" bottom="0.78740157480314998" header="0.78740157480314998" footer="0.78740157480314998"/>
  <pageSetup paperSize="5"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642"/>
  <sheetViews>
    <sheetView showGridLines="0" topLeftCell="A12" zoomScale="70" zoomScaleNormal="70" workbookViewId="0">
      <selection activeCell="E46" sqref="E46:H46"/>
    </sheetView>
  </sheetViews>
  <sheetFormatPr baseColWidth="10" defaultColWidth="11.42578125" defaultRowHeight="15"/>
  <cols>
    <col min="1" max="1" width="13.28515625" style="1" customWidth="1"/>
    <col min="2" max="2" width="14" style="1" bestFit="1" customWidth="1"/>
    <col min="3" max="3" width="12.28515625" style="1" bestFit="1" customWidth="1"/>
    <col min="4" max="4" width="12.85546875" style="1" customWidth="1"/>
    <col min="5" max="5" width="16.42578125" style="1" bestFit="1" customWidth="1"/>
    <col min="6" max="6" width="15" style="1" bestFit="1" customWidth="1"/>
    <col min="7" max="7" width="8.42578125" style="1" bestFit="1" customWidth="1"/>
    <col min="8" max="8" width="87.28515625" style="1" customWidth="1"/>
    <col min="9" max="9" width="18.140625" style="1" bestFit="1" customWidth="1"/>
    <col min="10" max="10" width="19.42578125" style="1" bestFit="1" customWidth="1"/>
    <col min="11" max="11" width="13.28515625" style="1" customWidth="1"/>
    <col min="12" max="12" width="23" style="1" customWidth="1"/>
    <col min="13" max="13" width="14" style="1" customWidth="1"/>
    <col min="14" max="14" width="15.5703125" style="1" bestFit="1" customWidth="1"/>
    <col min="15" max="15" width="11.42578125" style="1"/>
    <col min="16" max="16" width="2.42578125" style="1" customWidth="1"/>
    <col min="17" max="17" width="15.42578125" style="1" bestFit="1" customWidth="1"/>
    <col min="18" max="18" width="11.42578125" style="1"/>
    <col min="19" max="19" width="3" style="1" bestFit="1" customWidth="1"/>
    <col min="20" max="20" width="9.28515625" style="1" customWidth="1"/>
    <col min="21" max="23" width="11.42578125" style="1"/>
    <col min="24" max="24" width="19.42578125" style="1" bestFit="1" customWidth="1"/>
    <col min="25" max="29" width="11.42578125" style="1"/>
    <col min="30" max="30" width="19.42578125" style="1" bestFit="1" customWidth="1"/>
    <col min="31" max="16384" width="11.42578125" style="1"/>
  </cols>
  <sheetData>
    <row r="1" spans="1:20" s="6" customFormat="1" ht="30">
      <c r="A1" s="5" t="s">
        <v>211</v>
      </c>
      <c r="B1" s="5" t="s">
        <v>217</v>
      </c>
      <c r="C1" s="5" t="s">
        <v>218</v>
      </c>
      <c r="D1" s="5" t="s">
        <v>290</v>
      </c>
      <c r="E1" s="7" t="s">
        <v>239</v>
      </c>
      <c r="F1" s="7" t="s">
        <v>240</v>
      </c>
      <c r="G1" s="7" t="s">
        <v>88</v>
      </c>
      <c r="H1" s="7" t="s">
        <v>242</v>
      </c>
      <c r="I1" s="5" t="s">
        <v>90</v>
      </c>
      <c r="J1" s="5" t="s">
        <v>210</v>
      </c>
      <c r="K1" s="7" t="s">
        <v>222</v>
      </c>
      <c r="L1" s="5"/>
      <c r="M1"/>
      <c r="N1" s="7" t="s">
        <v>220</v>
      </c>
      <c r="O1" s="7" t="s">
        <v>222</v>
      </c>
      <c r="Q1" s="7" t="s">
        <v>91</v>
      </c>
      <c r="R1" s="7" t="s">
        <v>91</v>
      </c>
    </row>
    <row r="2" spans="1:20">
      <c r="A2" s="2" t="s">
        <v>366</v>
      </c>
      <c r="B2" s="3">
        <v>0.28699999999999998</v>
      </c>
      <c r="C2" s="3">
        <v>4.2999999999999997E-2</v>
      </c>
      <c r="D2" s="3">
        <v>4.2999999999999997E-2</v>
      </c>
      <c r="E2" s="31" t="s">
        <v>7</v>
      </c>
      <c r="F2" s="31" t="s">
        <v>7</v>
      </c>
      <c r="G2" s="32" t="s">
        <v>13</v>
      </c>
      <c r="H2" s="32" t="s">
        <v>172</v>
      </c>
      <c r="I2" s="31" t="s">
        <v>238</v>
      </c>
      <c r="J2" s="31" t="s">
        <v>279</v>
      </c>
      <c r="K2" s="32" t="s">
        <v>238</v>
      </c>
      <c r="L2" s="2"/>
      <c r="M2"/>
      <c r="N2" s="8" t="s">
        <v>221</v>
      </c>
      <c r="O2" s="8">
        <v>10</v>
      </c>
      <c r="Q2" s="8" t="s">
        <v>225</v>
      </c>
      <c r="R2" s="9" t="s">
        <v>11</v>
      </c>
      <c r="S2" s="56">
        <v>1</v>
      </c>
      <c r="T2" s="4" t="s">
        <v>366</v>
      </c>
    </row>
    <row r="3" spans="1:20">
      <c r="A3" s="2" t="s">
        <v>291</v>
      </c>
      <c r="B3" s="3">
        <v>0.33306469139934158</v>
      </c>
      <c r="C3" s="3">
        <v>0.1157679320269324</v>
      </c>
      <c r="D3" s="3">
        <v>4.4999999999999998E-2</v>
      </c>
      <c r="E3" s="31" t="s">
        <v>241</v>
      </c>
      <c r="F3" s="31" t="s">
        <v>24</v>
      </c>
      <c r="G3" s="32" t="s">
        <v>53</v>
      </c>
      <c r="H3" s="32" t="s">
        <v>201</v>
      </c>
      <c r="I3" s="31" t="s">
        <v>238</v>
      </c>
      <c r="J3" s="31" t="s">
        <v>24</v>
      </c>
      <c r="K3" s="32" t="s">
        <v>238</v>
      </c>
      <c r="L3" s="2"/>
      <c r="M3"/>
      <c r="N3" s="8" t="s">
        <v>221</v>
      </c>
      <c r="O3" s="8">
        <v>11</v>
      </c>
      <c r="Q3" s="8" t="s">
        <v>226</v>
      </c>
      <c r="R3" s="9" t="s">
        <v>16</v>
      </c>
      <c r="S3" s="56">
        <v>2</v>
      </c>
      <c r="T3" s="1" t="s">
        <v>291</v>
      </c>
    </row>
    <row r="4" spans="1:20">
      <c r="A4" s="2" t="s">
        <v>353</v>
      </c>
      <c r="B4" s="3">
        <v>0.3500353589645675</v>
      </c>
      <c r="C4" s="3">
        <v>0.1620150267793902</v>
      </c>
      <c r="D4" s="3">
        <v>0.155</v>
      </c>
      <c r="E4" s="31" t="s">
        <v>241</v>
      </c>
      <c r="F4" s="31" t="s">
        <v>25</v>
      </c>
      <c r="G4" s="32" t="s">
        <v>79</v>
      </c>
      <c r="H4" s="32" t="s">
        <v>186</v>
      </c>
      <c r="I4" s="31" t="s">
        <v>238</v>
      </c>
      <c r="J4" s="31" t="s">
        <v>25</v>
      </c>
      <c r="K4" s="32" t="s">
        <v>238</v>
      </c>
      <c r="L4" s="2"/>
      <c r="N4" s="8" t="s">
        <v>9</v>
      </c>
      <c r="O4" s="8"/>
      <c r="S4" s="56">
        <v>3</v>
      </c>
      <c r="T4" s="1" t="s">
        <v>353</v>
      </c>
    </row>
    <row r="5" spans="1:20">
      <c r="A5" s="2" t="s">
        <v>364</v>
      </c>
      <c r="B5" s="3">
        <v>0.37893901958783943</v>
      </c>
      <c r="C5" s="3">
        <v>0.21176096031805916</v>
      </c>
      <c r="D5" s="3">
        <v>0.185</v>
      </c>
      <c r="E5" s="31" t="s">
        <v>241</v>
      </c>
      <c r="F5" s="31" t="s">
        <v>26</v>
      </c>
      <c r="G5" s="32" t="s">
        <v>80</v>
      </c>
      <c r="H5" s="32" t="s">
        <v>208</v>
      </c>
      <c r="I5" s="92" t="s">
        <v>238</v>
      </c>
      <c r="J5" s="31" t="s">
        <v>26</v>
      </c>
      <c r="K5" s="32" t="s">
        <v>238</v>
      </c>
      <c r="L5" s="2"/>
      <c r="N5" s="8" t="s">
        <v>17</v>
      </c>
      <c r="O5" s="8">
        <v>16</v>
      </c>
      <c r="S5" s="56">
        <v>4</v>
      </c>
      <c r="T5" s="1" t="s">
        <v>364</v>
      </c>
    </row>
    <row r="6" spans="1:20">
      <c r="A6" s="2" t="s">
        <v>287</v>
      </c>
      <c r="B6" s="3">
        <v>0.4152324756624029</v>
      </c>
      <c r="C6" s="3">
        <v>0.25653152186754463</v>
      </c>
      <c r="D6" s="3">
        <v>0.23499999999999999</v>
      </c>
      <c r="E6" s="31" t="s">
        <v>241</v>
      </c>
      <c r="F6" s="31" t="s">
        <v>28</v>
      </c>
      <c r="G6" s="32" t="s">
        <v>55</v>
      </c>
      <c r="H6" s="32" t="s">
        <v>200</v>
      </c>
      <c r="I6" s="31" t="s">
        <v>238</v>
      </c>
      <c r="J6" s="31" t="s">
        <v>28</v>
      </c>
      <c r="K6" s="32" t="s">
        <v>238</v>
      </c>
      <c r="L6" s="2"/>
      <c r="N6" s="8" t="s">
        <v>223</v>
      </c>
      <c r="O6" s="8">
        <v>15</v>
      </c>
      <c r="S6" s="56">
        <v>5</v>
      </c>
      <c r="T6" s="1" t="s">
        <v>287</v>
      </c>
    </row>
    <row r="7" spans="1:20">
      <c r="A7" s="2" t="s">
        <v>288</v>
      </c>
      <c r="B7" s="3">
        <v>0.49857793614942159</v>
      </c>
      <c r="C7" s="3">
        <v>0.33514582803249654</v>
      </c>
      <c r="D7" s="3">
        <v>0.29499999999999998</v>
      </c>
      <c r="E7" s="31" t="s">
        <v>241</v>
      </c>
      <c r="F7" s="31" t="s">
        <v>27</v>
      </c>
      <c r="G7" s="32" t="s">
        <v>54</v>
      </c>
      <c r="H7" s="32" t="s">
        <v>204</v>
      </c>
      <c r="I7" s="31" t="s">
        <v>238</v>
      </c>
      <c r="J7" s="31" t="s">
        <v>27</v>
      </c>
      <c r="K7" s="32" t="s">
        <v>238</v>
      </c>
      <c r="L7" s="2"/>
      <c r="N7" s="8" t="s">
        <v>224</v>
      </c>
      <c r="O7" s="8">
        <v>20</v>
      </c>
      <c r="S7" s="56">
        <v>6</v>
      </c>
      <c r="T7" s="1" t="s">
        <v>288</v>
      </c>
    </row>
    <row r="8" spans="1:20">
      <c r="A8" s="2" t="s">
        <v>365</v>
      </c>
      <c r="B8" s="3">
        <v>0.58121222426546337</v>
      </c>
      <c r="C8" s="3">
        <v>0.41926024157363778</v>
      </c>
      <c r="D8" s="3">
        <v>0.32500000000000001</v>
      </c>
      <c r="E8" s="31" t="s">
        <v>241</v>
      </c>
      <c r="F8" s="31" t="s">
        <v>392</v>
      </c>
      <c r="G8" s="32" t="s">
        <v>390</v>
      </c>
      <c r="H8" s="32" t="s">
        <v>391</v>
      </c>
      <c r="I8" s="31" t="s">
        <v>238</v>
      </c>
      <c r="J8" s="31" t="s">
        <v>392</v>
      </c>
      <c r="K8" s="32" t="s">
        <v>238</v>
      </c>
      <c r="N8" s="8" t="s">
        <v>224</v>
      </c>
      <c r="O8" s="8">
        <v>21</v>
      </c>
      <c r="S8" s="56">
        <v>7</v>
      </c>
      <c r="T8" s="1" t="s">
        <v>365</v>
      </c>
    </row>
    <row r="9" spans="1:20">
      <c r="A9" s="2" t="s">
        <v>212</v>
      </c>
      <c r="B9" s="3">
        <v>0.65934474062689119</v>
      </c>
      <c r="C9" s="3">
        <v>0.49085767699431754</v>
      </c>
      <c r="D9" s="3">
        <v>0.38500000000000001</v>
      </c>
      <c r="E9" s="31" t="s">
        <v>241</v>
      </c>
      <c r="F9" s="31" t="s">
        <v>29</v>
      </c>
      <c r="G9" s="32" t="s">
        <v>56</v>
      </c>
      <c r="H9" s="32" t="s">
        <v>194</v>
      </c>
      <c r="I9" s="31" t="s">
        <v>238</v>
      </c>
      <c r="J9" s="31" t="s">
        <v>29</v>
      </c>
      <c r="K9" s="32" t="s">
        <v>238</v>
      </c>
      <c r="L9" s="2"/>
      <c r="N9" s="8"/>
      <c r="O9" s="8">
        <v>13</v>
      </c>
      <c r="S9" s="56">
        <v>8</v>
      </c>
      <c r="T9" s="1" t="s">
        <v>212</v>
      </c>
    </row>
    <row r="10" spans="1:20">
      <c r="A10" s="2" t="s">
        <v>213</v>
      </c>
      <c r="B10" s="3">
        <v>0.71458227304858069</v>
      </c>
      <c r="C10" s="3">
        <v>0.568661168458368</v>
      </c>
      <c r="D10" s="3">
        <v>0.435</v>
      </c>
      <c r="E10" s="31" t="s">
        <v>241</v>
      </c>
      <c r="F10" s="31" t="s">
        <v>31</v>
      </c>
      <c r="G10" s="32" t="s">
        <v>81</v>
      </c>
      <c r="H10" s="32" t="s">
        <v>184</v>
      </c>
      <c r="I10" s="31" t="s">
        <v>238</v>
      </c>
      <c r="J10" s="31" t="s">
        <v>31</v>
      </c>
      <c r="K10" s="32" t="s">
        <v>238</v>
      </c>
      <c r="L10" s="2"/>
      <c r="S10" s="56">
        <v>9</v>
      </c>
      <c r="T10" s="1" t="s">
        <v>213</v>
      </c>
    </row>
    <row r="11" spans="1:20">
      <c r="A11" s="2" t="s">
        <v>214</v>
      </c>
      <c r="B11" s="3">
        <v>0.79322247330963636</v>
      </c>
      <c r="C11" s="3">
        <v>0.65815241298745708</v>
      </c>
      <c r="D11" s="3">
        <v>0.495</v>
      </c>
      <c r="E11" s="31" t="s">
        <v>241</v>
      </c>
      <c r="F11" s="31" t="s">
        <v>30</v>
      </c>
      <c r="G11" s="32" t="s">
        <v>57</v>
      </c>
      <c r="H11" s="32" t="s">
        <v>183</v>
      </c>
      <c r="I11" s="31" t="s">
        <v>238</v>
      </c>
      <c r="J11" s="31" t="s">
        <v>30</v>
      </c>
      <c r="K11" s="32" t="s">
        <v>238</v>
      </c>
      <c r="L11" s="2"/>
      <c r="S11" s="56">
        <v>10</v>
      </c>
      <c r="T11" s="1" t="s">
        <v>214</v>
      </c>
    </row>
    <row r="12" spans="1:20">
      <c r="A12" s="2" t="s">
        <v>215</v>
      </c>
      <c r="B12" s="3">
        <v>0.86005573624210074</v>
      </c>
      <c r="C12" s="3">
        <v>0.73220702599450438</v>
      </c>
      <c r="D12" s="3">
        <v>0.64500000000000002</v>
      </c>
      <c r="E12" s="31" t="s">
        <v>241</v>
      </c>
      <c r="F12" s="31" t="s">
        <v>32</v>
      </c>
      <c r="G12" s="32" t="s">
        <v>58</v>
      </c>
      <c r="H12" s="32" t="s">
        <v>195</v>
      </c>
      <c r="I12" s="92" t="s">
        <v>238</v>
      </c>
      <c r="J12" s="92" t="s">
        <v>32</v>
      </c>
      <c r="K12" s="32" t="s">
        <v>238</v>
      </c>
      <c r="L12" s="2"/>
      <c r="S12" s="56">
        <v>11</v>
      </c>
      <c r="T12" s="1" t="s">
        <v>215</v>
      </c>
    </row>
    <row r="13" spans="1:20">
      <c r="A13" s="2" t="s">
        <v>216</v>
      </c>
      <c r="B13" s="3">
        <v>0.95375455079563409</v>
      </c>
      <c r="C13" s="3">
        <v>0.90400583040831983</v>
      </c>
      <c r="D13" s="3">
        <v>0.82</v>
      </c>
      <c r="E13" s="31" t="s">
        <v>241</v>
      </c>
      <c r="F13" s="32" t="s">
        <v>34</v>
      </c>
      <c r="G13" s="32" t="s">
        <v>82</v>
      </c>
      <c r="H13" s="32" t="s">
        <v>202</v>
      </c>
      <c r="I13" s="31" t="s">
        <v>238</v>
      </c>
      <c r="J13" s="32" t="s">
        <v>34</v>
      </c>
      <c r="K13" s="32" t="s">
        <v>238</v>
      </c>
      <c r="L13" s="2"/>
      <c r="S13" s="56">
        <v>12</v>
      </c>
      <c r="T13" s="1" t="s">
        <v>216</v>
      </c>
    </row>
    <row r="14" spans="1:20">
      <c r="E14" s="31" t="s">
        <v>241</v>
      </c>
      <c r="F14" s="32" t="s">
        <v>33</v>
      </c>
      <c r="G14" s="32" t="s">
        <v>59</v>
      </c>
      <c r="H14" s="32" t="s">
        <v>196</v>
      </c>
      <c r="I14" s="31" t="s">
        <v>238</v>
      </c>
      <c r="J14" s="32" t="s">
        <v>33</v>
      </c>
      <c r="K14" s="32" t="s">
        <v>238</v>
      </c>
      <c r="L14" s="2"/>
    </row>
    <row r="15" spans="1:20">
      <c r="E15" s="31" t="s">
        <v>241</v>
      </c>
      <c r="F15" s="32" t="s">
        <v>35</v>
      </c>
      <c r="G15" s="32" t="s">
        <v>60</v>
      </c>
      <c r="H15" s="32" t="s">
        <v>192</v>
      </c>
      <c r="I15" s="31" t="s">
        <v>238</v>
      </c>
      <c r="J15" s="32" t="s">
        <v>35</v>
      </c>
      <c r="K15" s="32" t="s">
        <v>238</v>
      </c>
      <c r="L15" s="2"/>
    </row>
    <row r="16" spans="1:20">
      <c r="E16" s="31" t="s">
        <v>241</v>
      </c>
      <c r="F16" s="32" t="s">
        <v>36</v>
      </c>
      <c r="G16" s="32" t="s">
        <v>61</v>
      </c>
      <c r="H16" s="32" t="s">
        <v>193</v>
      </c>
      <c r="I16" s="31" t="s">
        <v>238</v>
      </c>
      <c r="J16" s="32" t="s">
        <v>36</v>
      </c>
      <c r="K16" s="32" t="s">
        <v>238</v>
      </c>
      <c r="L16" s="2"/>
    </row>
    <row r="17" spans="5:12">
      <c r="E17" s="31" t="s">
        <v>241</v>
      </c>
      <c r="F17" s="32" t="s">
        <v>37</v>
      </c>
      <c r="G17" s="32" t="s">
        <v>62</v>
      </c>
      <c r="H17" s="32" t="s">
        <v>205</v>
      </c>
      <c r="I17" s="31" t="s">
        <v>238</v>
      </c>
      <c r="J17" s="32" t="s">
        <v>37</v>
      </c>
      <c r="K17" s="32" t="s">
        <v>238</v>
      </c>
      <c r="L17" s="2"/>
    </row>
    <row r="18" spans="5:12">
      <c r="E18" s="31" t="s">
        <v>241</v>
      </c>
      <c r="F18" s="32" t="s">
        <v>39</v>
      </c>
      <c r="G18" s="32" t="s">
        <v>64</v>
      </c>
      <c r="H18" s="32" t="s">
        <v>182</v>
      </c>
      <c r="I18" s="31" t="s">
        <v>238</v>
      </c>
      <c r="J18" s="32" t="s">
        <v>39</v>
      </c>
      <c r="K18" s="32" t="s">
        <v>238</v>
      </c>
      <c r="L18" s="2"/>
    </row>
    <row r="19" spans="5:12">
      <c r="E19" s="31" t="s">
        <v>241</v>
      </c>
      <c r="F19" s="32" t="s">
        <v>38</v>
      </c>
      <c r="G19" s="32" t="s">
        <v>63</v>
      </c>
      <c r="H19" s="32" t="s">
        <v>190</v>
      </c>
      <c r="I19" s="31" t="s">
        <v>238</v>
      </c>
      <c r="J19" s="32" t="s">
        <v>38</v>
      </c>
      <c r="K19" s="32" t="s">
        <v>238</v>
      </c>
      <c r="L19" s="2"/>
    </row>
    <row r="20" spans="5:12">
      <c r="E20" s="31" t="s">
        <v>241</v>
      </c>
      <c r="F20" s="32" t="s">
        <v>41</v>
      </c>
      <c r="G20" s="32" t="s">
        <v>66</v>
      </c>
      <c r="H20" s="32" t="s">
        <v>206</v>
      </c>
      <c r="I20" s="31" t="s">
        <v>238</v>
      </c>
      <c r="J20" s="32" t="s">
        <v>41</v>
      </c>
      <c r="K20" s="32" t="s">
        <v>238</v>
      </c>
      <c r="L20" s="2"/>
    </row>
    <row r="21" spans="5:12">
      <c r="E21" s="31" t="s">
        <v>241</v>
      </c>
      <c r="F21" s="32" t="s">
        <v>42</v>
      </c>
      <c r="G21" s="32" t="s">
        <v>67</v>
      </c>
      <c r="H21" s="32" t="s">
        <v>189</v>
      </c>
      <c r="I21" s="31" t="s">
        <v>238</v>
      </c>
      <c r="J21" s="32" t="s">
        <v>42</v>
      </c>
      <c r="K21" s="32" t="s">
        <v>238</v>
      </c>
      <c r="L21" s="2"/>
    </row>
    <row r="22" spans="5:12">
      <c r="E22" s="31" t="s">
        <v>241</v>
      </c>
      <c r="F22" s="32" t="s">
        <v>43</v>
      </c>
      <c r="G22" s="32" t="s">
        <v>68</v>
      </c>
      <c r="H22" s="32" t="s">
        <v>207</v>
      </c>
      <c r="I22" s="31" t="s">
        <v>238</v>
      </c>
      <c r="J22" s="32" t="s">
        <v>43</v>
      </c>
      <c r="K22" s="32" t="s">
        <v>238</v>
      </c>
      <c r="L22" s="2"/>
    </row>
    <row r="23" spans="5:12">
      <c r="E23" s="31" t="s">
        <v>241</v>
      </c>
      <c r="F23" s="32" t="s">
        <v>44</v>
      </c>
      <c r="G23" s="32" t="s">
        <v>69</v>
      </c>
      <c r="H23" s="32" t="s">
        <v>197</v>
      </c>
      <c r="I23" s="31" t="s">
        <v>238</v>
      </c>
      <c r="J23" s="32" t="s">
        <v>44</v>
      </c>
      <c r="K23" s="32" t="s">
        <v>238</v>
      </c>
      <c r="L23" s="2"/>
    </row>
    <row r="24" spans="5:12">
      <c r="E24" s="31" t="s">
        <v>241</v>
      </c>
      <c r="F24" s="32" t="s">
        <v>219</v>
      </c>
      <c r="G24" s="32" t="s">
        <v>70</v>
      </c>
      <c r="H24" s="32" t="s">
        <v>187</v>
      </c>
      <c r="I24" s="31" t="s">
        <v>238</v>
      </c>
      <c r="J24" s="32" t="s">
        <v>219</v>
      </c>
      <c r="K24" s="32" t="s">
        <v>238</v>
      </c>
      <c r="L24" s="2"/>
    </row>
    <row r="25" spans="5:12">
      <c r="E25" s="31" t="s">
        <v>241</v>
      </c>
      <c r="F25" s="32" t="s">
        <v>40</v>
      </c>
      <c r="G25" s="32" t="s">
        <v>65</v>
      </c>
      <c r="H25" s="32" t="s">
        <v>188</v>
      </c>
      <c r="I25" s="31" t="s">
        <v>238</v>
      </c>
      <c r="J25" s="32" t="s">
        <v>40</v>
      </c>
      <c r="K25" s="32" t="s">
        <v>238</v>
      </c>
      <c r="L25" s="2"/>
    </row>
    <row r="26" spans="5:12">
      <c r="E26" s="31" t="s">
        <v>241</v>
      </c>
      <c r="F26" s="32" t="s">
        <v>45</v>
      </c>
      <c r="G26" s="32" t="s">
        <v>71</v>
      </c>
      <c r="H26" s="32" t="s">
        <v>199</v>
      </c>
      <c r="I26" s="31" t="s">
        <v>238</v>
      </c>
      <c r="J26" s="32" t="s">
        <v>45</v>
      </c>
      <c r="K26" s="32" t="s">
        <v>238</v>
      </c>
      <c r="L26" s="2"/>
    </row>
    <row r="27" spans="5:12">
      <c r="E27" s="31" t="s">
        <v>241</v>
      </c>
      <c r="F27" s="32" t="s">
        <v>46</v>
      </c>
      <c r="G27" s="32" t="s">
        <v>72</v>
      </c>
      <c r="H27" s="32" t="s">
        <v>181</v>
      </c>
      <c r="I27" s="31" t="s">
        <v>238</v>
      </c>
      <c r="J27" s="32" t="s">
        <v>46</v>
      </c>
      <c r="K27" s="32" t="s">
        <v>238</v>
      </c>
      <c r="L27" s="2"/>
    </row>
    <row r="28" spans="5:12">
      <c r="E28" s="31" t="s">
        <v>241</v>
      </c>
      <c r="F28" s="32" t="s">
        <v>48</v>
      </c>
      <c r="G28" s="32" t="s">
        <v>74</v>
      </c>
      <c r="H28" s="32" t="s">
        <v>185</v>
      </c>
      <c r="I28" s="31" t="s">
        <v>238</v>
      </c>
      <c r="J28" s="32" t="s">
        <v>48</v>
      </c>
      <c r="K28" s="32" t="s">
        <v>238</v>
      </c>
      <c r="L28" s="2"/>
    </row>
    <row r="29" spans="5:12">
      <c r="E29" s="31" t="s">
        <v>241</v>
      </c>
      <c r="F29" s="32" t="s">
        <v>47</v>
      </c>
      <c r="G29" s="32" t="s">
        <v>73</v>
      </c>
      <c r="H29" s="32" t="s">
        <v>203</v>
      </c>
      <c r="I29" s="31" t="s">
        <v>238</v>
      </c>
      <c r="J29" s="32" t="s">
        <v>47</v>
      </c>
      <c r="K29" s="32" t="s">
        <v>238</v>
      </c>
      <c r="L29" s="2"/>
    </row>
    <row r="30" spans="5:12">
      <c r="E30" s="31" t="s">
        <v>241</v>
      </c>
      <c r="F30" s="32" t="s">
        <v>49</v>
      </c>
      <c r="G30" s="32" t="s">
        <v>75</v>
      </c>
      <c r="H30" s="32" t="s">
        <v>191</v>
      </c>
      <c r="I30" s="31" t="s">
        <v>238</v>
      </c>
      <c r="J30" s="32" t="s">
        <v>49</v>
      </c>
      <c r="K30" s="32" t="s">
        <v>238</v>
      </c>
      <c r="L30" s="2"/>
    </row>
    <row r="31" spans="5:12">
      <c r="E31" s="31" t="s">
        <v>241</v>
      </c>
      <c r="F31" s="32" t="s">
        <v>50</v>
      </c>
      <c r="G31" s="32" t="s">
        <v>76</v>
      </c>
      <c r="H31" s="32" t="s">
        <v>180</v>
      </c>
      <c r="I31" s="31" t="s">
        <v>238</v>
      </c>
      <c r="J31" s="32" t="s">
        <v>50</v>
      </c>
      <c r="K31" s="32" t="s">
        <v>238</v>
      </c>
      <c r="L31" s="2"/>
    </row>
    <row r="32" spans="5:12">
      <c r="E32" s="31" t="s">
        <v>241</v>
      </c>
      <c r="F32" s="32" t="s">
        <v>51</v>
      </c>
      <c r="G32" s="32" t="s">
        <v>77</v>
      </c>
      <c r="H32" s="32" t="s">
        <v>209</v>
      </c>
      <c r="I32" s="31" t="s">
        <v>238</v>
      </c>
      <c r="J32" s="32" t="s">
        <v>51</v>
      </c>
      <c r="K32" s="32" t="s">
        <v>238</v>
      </c>
      <c r="L32" s="2"/>
    </row>
    <row r="33" spans="5:12">
      <c r="E33" s="31" t="s">
        <v>241</v>
      </c>
      <c r="F33" s="32" t="s">
        <v>52</v>
      </c>
      <c r="G33" s="32" t="s">
        <v>78</v>
      </c>
      <c r="H33" s="32" t="s">
        <v>179</v>
      </c>
      <c r="I33" s="31" t="s">
        <v>238</v>
      </c>
      <c r="J33" s="32" t="s">
        <v>52</v>
      </c>
      <c r="K33" s="32" t="s">
        <v>238</v>
      </c>
      <c r="L33" s="2"/>
    </row>
    <row r="34" spans="5:12">
      <c r="E34" s="31" t="s">
        <v>241</v>
      </c>
      <c r="F34" s="32" t="s">
        <v>526</v>
      </c>
      <c r="G34" s="32" t="s">
        <v>525</v>
      </c>
      <c r="H34" s="32" t="s">
        <v>524</v>
      </c>
      <c r="I34" s="31" t="s">
        <v>238</v>
      </c>
      <c r="J34" s="32" t="s">
        <v>526</v>
      </c>
      <c r="K34" s="32" t="s">
        <v>238</v>
      </c>
      <c r="L34" s="2"/>
    </row>
    <row r="35" spans="5:12">
      <c r="E35" s="2" t="s">
        <v>241</v>
      </c>
      <c r="F35" s="8" t="s">
        <v>42</v>
      </c>
      <c r="G35" s="8" t="s">
        <v>67</v>
      </c>
      <c r="H35" s="8" t="s">
        <v>189</v>
      </c>
      <c r="I35" s="1" t="s">
        <v>376</v>
      </c>
      <c r="J35" s="86" t="s">
        <v>17</v>
      </c>
      <c r="K35" s="8">
        <v>16</v>
      </c>
      <c r="L35" s="2"/>
    </row>
    <row r="36" spans="5:12">
      <c r="E36" s="2" t="s">
        <v>9</v>
      </c>
      <c r="F36" s="8" t="s">
        <v>9</v>
      </c>
      <c r="G36" s="8" t="s">
        <v>15</v>
      </c>
      <c r="H36" s="8" t="s">
        <v>177</v>
      </c>
      <c r="I36" s="230" t="s">
        <v>293</v>
      </c>
      <c r="J36" s="86" t="s">
        <v>7</v>
      </c>
      <c r="K36" s="8" t="s">
        <v>238</v>
      </c>
      <c r="L36" s="2"/>
    </row>
    <row r="37" spans="5:12">
      <c r="E37" s="2" t="s">
        <v>9</v>
      </c>
      <c r="F37" s="8" t="s">
        <v>9</v>
      </c>
      <c r="G37" s="8" t="s">
        <v>15</v>
      </c>
      <c r="H37" s="8" t="s">
        <v>177</v>
      </c>
      <c r="I37" s="230" t="s">
        <v>133</v>
      </c>
      <c r="J37" s="86" t="s">
        <v>7</v>
      </c>
      <c r="K37" s="8" t="s">
        <v>238</v>
      </c>
      <c r="L37" s="2"/>
    </row>
    <row r="38" spans="5:12">
      <c r="E38" s="2" t="s">
        <v>9</v>
      </c>
      <c r="F38" s="2" t="s">
        <v>9</v>
      </c>
      <c r="G38" s="8" t="s">
        <v>15</v>
      </c>
      <c r="H38" s="8" t="s">
        <v>177</v>
      </c>
      <c r="I38" s="230" t="s">
        <v>378</v>
      </c>
      <c r="J38" s="86" t="s">
        <v>7</v>
      </c>
      <c r="K38" s="8" t="s">
        <v>238</v>
      </c>
      <c r="L38" s="2"/>
    </row>
    <row r="39" spans="5:12">
      <c r="E39" s="2" t="s">
        <v>9</v>
      </c>
      <c r="F39" s="8" t="s">
        <v>9</v>
      </c>
      <c r="G39" s="8" t="s">
        <v>15</v>
      </c>
      <c r="H39" s="8" t="s">
        <v>177</v>
      </c>
      <c r="I39" s="230" t="s">
        <v>198</v>
      </c>
      <c r="J39" s="86" t="s">
        <v>382</v>
      </c>
      <c r="K39" s="8" t="s">
        <v>238</v>
      </c>
      <c r="L39" s="2"/>
    </row>
    <row r="40" spans="5:12">
      <c r="E40" s="2" t="s">
        <v>9</v>
      </c>
      <c r="F40" s="8" t="s">
        <v>9</v>
      </c>
      <c r="G40" s="8" t="s">
        <v>15</v>
      </c>
      <c r="H40" s="8" t="s">
        <v>177</v>
      </c>
      <c r="I40" s="230" t="s">
        <v>289</v>
      </c>
      <c r="J40" s="86" t="s">
        <v>382</v>
      </c>
      <c r="K40" s="8" t="s">
        <v>238</v>
      </c>
      <c r="L40" s="8"/>
    </row>
    <row r="41" spans="5:12">
      <c r="E41" s="2" t="s">
        <v>9</v>
      </c>
      <c r="F41" s="8" t="s">
        <v>9</v>
      </c>
      <c r="G41" s="8" t="s">
        <v>15</v>
      </c>
      <c r="H41" s="8" t="s">
        <v>177</v>
      </c>
      <c r="I41" s="230" t="s">
        <v>294</v>
      </c>
      <c r="J41" s="86" t="s">
        <v>6</v>
      </c>
      <c r="K41" s="8" t="s">
        <v>238</v>
      </c>
      <c r="L41" s="2">
        <v>10.11</v>
      </c>
    </row>
    <row r="42" spans="5:12">
      <c r="E42" s="2" t="s">
        <v>9</v>
      </c>
      <c r="F42" s="8" t="s">
        <v>9</v>
      </c>
      <c r="G42" s="8" t="s">
        <v>15</v>
      </c>
      <c r="H42" s="8" t="s">
        <v>177</v>
      </c>
      <c r="I42" s="230" t="s">
        <v>434</v>
      </c>
      <c r="J42" s="86" t="s">
        <v>6</v>
      </c>
      <c r="K42" s="8" t="s">
        <v>238</v>
      </c>
      <c r="L42" s="8">
        <v>20.21</v>
      </c>
    </row>
    <row r="43" spans="5:12">
      <c r="E43" s="2" t="s">
        <v>9</v>
      </c>
      <c r="F43" s="8" t="s">
        <v>9</v>
      </c>
      <c r="G43" s="8" t="s">
        <v>15</v>
      </c>
      <c r="H43" s="8" t="s">
        <v>177</v>
      </c>
      <c r="I43" s="230" t="s">
        <v>130</v>
      </c>
      <c r="J43" s="86" t="s">
        <v>231</v>
      </c>
      <c r="K43" s="8" t="s">
        <v>238</v>
      </c>
      <c r="L43" s="8">
        <v>20.21</v>
      </c>
    </row>
    <row r="44" spans="5:12">
      <c r="E44" s="2" t="s">
        <v>9</v>
      </c>
      <c r="F44" s="8" t="s">
        <v>9</v>
      </c>
      <c r="G44" s="8" t="s">
        <v>15</v>
      </c>
      <c r="H44" s="8" t="s">
        <v>177</v>
      </c>
      <c r="I44" s="230" t="s">
        <v>178</v>
      </c>
      <c r="J44" s="86" t="s">
        <v>363</v>
      </c>
      <c r="K44" s="8" t="s">
        <v>238</v>
      </c>
      <c r="L44" s="149"/>
    </row>
    <row r="45" spans="5:12">
      <c r="E45" s="2" t="s">
        <v>9</v>
      </c>
      <c r="F45" s="8" t="s">
        <v>9</v>
      </c>
      <c r="G45" s="8" t="s">
        <v>15</v>
      </c>
      <c r="H45" s="8" t="s">
        <v>177</v>
      </c>
      <c r="I45" s="230" t="s">
        <v>285</v>
      </c>
      <c r="J45" s="86" t="s">
        <v>363</v>
      </c>
      <c r="K45" s="8" t="s">
        <v>238</v>
      </c>
    </row>
    <row r="46" spans="5:12">
      <c r="E46" s="2" t="s">
        <v>8</v>
      </c>
      <c r="F46" s="8" t="s">
        <v>8</v>
      </c>
      <c r="G46" s="8" t="s">
        <v>14</v>
      </c>
      <c r="H46" s="8" t="s">
        <v>173</v>
      </c>
      <c r="I46" s="66" t="s">
        <v>175</v>
      </c>
      <c r="J46" s="86" t="s">
        <v>427</v>
      </c>
      <c r="K46" s="8">
        <v>13</v>
      </c>
      <c r="L46" s="2">
        <v>15.11</v>
      </c>
    </row>
    <row r="47" spans="5:12">
      <c r="E47" s="2" t="s">
        <v>8</v>
      </c>
      <c r="F47" s="8" t="s">
        <v>8</v>
      </c>
      <c r="G47" s="8" t="s">
        <v>14</v>
      </c>
      <c r="H47" s="8" t="s">
        <v>173</v>
      </c>
      <c r="I47" s="66" t="s">
        <v>238</v>
      </c>
      <c r="J47" s="86" t="s">
        <v>8</v>
      </c>
      <c r="K47" s="8" t="s">
        <v>238</v>
      </c>
      <c r="L47" s="8"/>
    </row>
    <row r="48" spans="5:12">
      <c r="E48" s="2" t="s">
        <v>6</v>
      </c>
      <c r="F48" s="8" t="s">
        <v>6</v>
      </c>
      <c r="G48" s="8" t="s">
        <v>10</v>
      </c>
      <c r="H48" s="8" t="s">
        <v>114</v>
      </c>
      <c r="I48" s="66" t="s">
        <v>292</v>
      </c>
      <c r="J48" s="86" t="s">
        <v>18</v>
      </c>
      <c r="K48" s="8">
        <v>11</v>
      </c>
      <c r="L48" s="2">
        <v>15.11</v>
      </c>
    </row>
    <row r="49" spans="5:12">
      <c r="E49" s="2" t="s">
        <v>6</v>
      </c>
      <c r="F49" s="8" t="s">
        <v>6</v>
      </c>
      <c r="G49" s="8" t="s">
        <v>10</v>
      </c>
      <c r="H49" s="8" t="s">
        <v>114</v>
      </c>
      <c r="I49" s="66" t="s">
        <v>295</v>
      </c>
      <c r="J49" s="86" t="s">
        <v>18</v>
      </c>
      <c r="K49" s="8" t="s">
        <v>238</v>
      </c>
    </row>
    <row r="50" spans="5:12">
      <c r="E50" s="2" t="s">
        <v>6</v>
      </c>
      <c r="F50" s="8" t="s">
        <v>6</v>
      </c>
      <c r="G50" s="8" t="s">
        <v>10</v>
      </c>
      <c r="H50" s="8" t="s">
        <v>114</v>
      </c>
      <c r="I50" s="66" t="s">
        <v>152</v>
      </c>
      <c r="J50" s="86" t="s">
        <v>19</v>
      </c>
      <c r="K50" s="8">
        <v>11</v>
      </c>
    </row>
    <row r="51" spans="5:12">
      <c r="E51" s="2" t="s">
        <v>6</v>
      </c>
      <c r="F51" s="8" t="s">
        <v>6</v>
      </c>
      <c r="G51" s="8" t="s">
        <v>10</v>
      </c>
      <c r="H51" s="8" t="s">
        <v>114</v>
      </c>
      <c r="I51" s="66" t="s">
        <v>152</v>
      </c>
      <c r="J51" s="86" t="s">
        <v>535</v>
      </c>
      <c r="K51" s="8">
        <v>13</v>
      </c>
    </row>
    <row r="52" spans="5:12">
      <c r="E52" s="2" t="s">
        <v>6</v>
      </c>
      <c r="F52" s="8" t="s">
        <v>6</v>
      </c>
      <c r="G52" s="8" t="s">
        <v>10</v>
      </c>
      <c r="H52" s="8" t="s">
        <v>114</v>
      </c>
      <c r="I52" s="66" t="s">
        <v>198</v>
      </c>
      <c r="J52" s="86" t="s">
        <v>277</v>
      </c>
      <c r="K52" s="8">
        <v>11</v>
      </c>
      <c r="L52" s="8"/>
    </row>
    <row r="53" spans="5:12">
      <c r="E53" s="2" t="s">
        <v>6</v>
      </c>
      <c r="F53" s="8" t="s">
        <v>6</v>
      </c>
      <c r="G53" s="8" t="s">
        <v>10</v>
      </c>
      <c r="H53" s="8" t="s">
        <v>114</v>
      </c>
      <c r="I53" s="66" t="s">
        <v>178</v>
      </c>
      <c r="J53" s="86" t="s">
        <v>277</v>
      </c>
      <c r="K53" s="8">
        <v>11</v>
      </c>
      <c r="L53" s="8"/>
    </row>
    <row r="54" spans="5:12">
      <c r="E54" s="2" t="s">
        <v>6</v>
      </c>
      <c r="F54" s="8" t="s">
        <v>6</v>
      </c>
      <c r="G54" s="8" t="s">
        <v>10</v>
      </c>
      <c r="H54" s="8" t="s">
        <v>114</v>
      </c>
      <c r="I54" s="66" t="s">
        <v>178</v>
      </c>
      <c r="J54" s="86" t="s">
        <v>428</v>
      </c>
      <c r="K54" s="8">
        <v>13</v>
      </c>
      <c r="L54" s="8"/>
    </row>
    <row r="55" spans="5:12">
      <c r="E55" s="2" t="s">
        <v>6</v>
      </c>
      <c r="F55" s="8" t="s">
        <v>6</v>
      </c>
      <c r="G55" s="8" t="s">
        <v>10</v>
      </c>
      <c r="H55" s="8" t="s">
        <v>114</v>
      </c>
      <c r="I55" s="66" t="s">
        <v>149</v>
      </c>
      <c r="J55" s="86" t="s">
        <v>235</v>
      </c>
      <c r="K55" s="8">
        <v>11</v>
      </c>
      <c r="L55" s="8"/>
    </row>
    <row r="56" spans="5:12">
      <c r="E56" s="2" t="s">
        <v>6</v>
      </c>
      <c r="F56" s="8" t="s">
        <v>6</v>
      </c>
      <c r="G56" s="8" t="s">
        <v>10</v>
      </c>
      <c r="H56" s="8" t="s">
        <v>114</v>
      </c>
      <c r="I56" s="66" t="s">
        <v>149</v>
      </c>
      <c r="J56" s="86" t="s">
        <v>536</v>
      </c>
      <c r="K56" s="8">
        <v>13</v>
      </c>
      <c r="L56" s="8"/>
    </row>
    <row r="57" spans="5:12">
      <c r="E57" s="2" t="s">
        <v>6</v>
      </c>
      <c r="F57" s="8" t="s">
        <v>6</v>
      </c>
      <c r="G57" s="8" t="s">
        <v>10</v>
      </c>
      <c r="H57" s="8" t="s">
        <v>114</v>
      </c>
      <c r="I57" s="66" t="s">
        <v>286</v>
      </c>
      <c r="J57" s="86" t="s">
        <v>234</v>
      </c>
      <c r="K57" s="8" t="s">
        <v>238</v>
      </c>
      <c r="L57" s="8"/>
    </row>
    <row r="58" spans="5:12">
      <c r="E58" s="2" t="s">
        <v>6</v>
      </c>
      <c r="F58" s="8" t="s">
        <v>6</v>
      </c>
      <c r="G58" s="8" t="s">
        <v>10</v>
      </c>
      <c r="H58" s="8" t="s">
        <v>114</v>
      </c>
      <c r="I58" s="66" t="s">
        <v>137</v>
      </c>
      <c r="J58" s="86" t="s">
        <v>233</v>
      </c>
      <c r="K58" s="8" t="s">
        <v>238</v>
      </c>
      <c r="L58" s="8"/>
    </row>
    <row r="59" spans="5:12">
      <c r="E59" s="2" t="s">
        <v>6</v>
      </c>
      <c r="F59" s="8" t="s">
        <v>6</v>
      </c>
      <c r="G59" s="8" t="s">
        <v>10</v>
      </c>
      <c r="H59" s="8" t="s">
        <v>114</v>
      </c>
      <c r="I59" s="66" t="s">
        <v>297</v>
      </c>
      <c r="J59" s="86" t="s">
        <v>259</v>
      </c>
      <c r="K59" s="8" t="s">
        <v>238</v>
      </c>
      <c r="L59" s="8"/>
    </row>
    <row r="60" spans="5:12">
      <c r="E60" s="2" t="s">
        <v>6</v>
      </c>
      <c r="F60" s="8" t="s">
        <v>6</v>
      </c>
      <c r="G60" s="8" t="s">
        <v>10</v>
      </c>
      <c r="H60" s="8" t="s">
        <v>114</v>
      </c>
      <c r="I60" s="66" t="s">
        <v>296</v>
      </c>
      <c r="J60" s="86" t="s">
        <v>259</v>
      </c>
      <c r="K60" s="8" t="s">
        <v>238</v>
      </c>
      <c r="L60" s="8"/>
    </row>
    <row r="61" spans="5:12">
      <c r="E61" s="2" t="s">
        <v>6</v>
      </c>
      <c r="F61" s="8" t="s">
        <v>6</v>
      </c>
      <c r="G61" s="8" t="s">
        <v>10</v>
      </c>
      <c r="H61" s="8" t="s">
        <v>114</v>
      </c>
      <c r="I61" s="66" t="s">
        <v>530</v>
      </c>
      <c r="J61" s="86" t="s">
        <v>23</v>
      </c>
      <c r="K61" s="8" t="s">
        <v>238</v>
      </c>
      <c r="L61" s="8"/>
    </row>
    <row r="62" spans="5:12">
      <c r="E62" s="2" t="s">
        <v>6</v>
      </c>
      <c r="F62" s="8" t="s">
        <v>6</v>
      </c>
      <c r="G62" s="8" t="s">
        <v>10</v>
      </c>
      <c r="H62" s="8" t="s">
        <v>114</v>
      </c>
      <c r="I62" s="66" t="s">
        <v>528</v>
      </c>
      <c r="J62" s="86" t="s">
        <v>23</v>
      </c>
      <c r="K62" s="8" t="s">
        <v>238</v>
      </c>
      <c r="L62" s="8"/>
    </row>
    <row r="63" spans="5:12">
      <c r="E63" s="2" t="s">
        <v>6</v>
      </c>
      <c r="F63" s="8" t="s">
        <v>6</v>
      </c>
      <c r="G63" s="8" t="s">
        <v>10</v>
      </c>
      <c r="H63" s="8" t="s">
        <v>114</v>
      </c>
      <c r="I63" s="66" t="s">
        <v>166</v>
      </c>
      <c r="J63" s="86" t="s">
        <v>22</v>
      </c>
      <c r="K63" s="8" t="s">
        <v>238</v>
      </c>
      <c r="L63" s="8"/>
    </row>
    <row r="64" spans="5:12">
      <c r="E64" s="2" t="s">
        <v>6</v>
      </c>
      <c r="F64" s="8" t="s">
        <v>6</v>
      </c>
      <c r="G64" s="8" t="s">
        <v>10</v>
      </c>
      <c r="H64" s="8" t="s">
        <v>114</v>
      </c>
      <c r="I64" s="66" t="s">
        <v>141</v>
      </c>
      <c r="J64" s="86" t="s">
        <v>22</v>
      </c>
      <c r="K64" s="8" t="s">
        <v>238</v>
      </c>
      <c r="L64" s="8"/>
    </row>
    <row r="65" spans="5:12">
      <c r="E65" s="2" t="s">
        <v>6</v>
      </c>
      <c r="F65" s="8" t="s">
        <v>6</v>
      </c>
      <c r="G65" s="8" t="s">
        <v>10</v>
      </c>
      <c r="H65" s="8" t="s">
        <v>114</v>
      </c>
      <c r="I65" s="66" t="s">
        <v>146</v>
      </c>
      <c r="J65" s="86" t="s">
        <v>21</v>
      </c>
      <c r="K65" s="8" t="s">
        <v>238</v>
      </c>
      <c r="L65" s="8"/>
    </row>
    <row r="66" spans="5:12">
      <c r="E66" s="2" t="s">
        <v>6</v>
      </c>
      <c r="F66" s="8" t="s">
        <v>6</v>
      </c>
      <c r="G66" s="8" t="s">
        <v>10</v>
      </c>
      <c r="H66" s="8" t="s">
        <v>114</v>
      </c>
      <c r="I66" s="66" t="s">
        <v>161</v>
      </c>
      <c r="J66" s="86" t="s">
        <v>21</v>
      </c>
      <c r="K66" s="8" t="s">
        <v>238</v>
      </c>
      <c r="L66" s="8"/>
    </row>
    <row r="67" spans="5:12">
      <c r="E67" s="2" t="s">
        <v>6</v>
      </c>
      <c r="F67" s="8" t="s">
        <v>6</v>
      </c>
      <c r="G67" s="8" t="s">
        <v>10</v>
      </c>
      <c r="H67" s="8" t="s">
        <v>114</v>
      </c>
      <c r="I67" s="66" t="s">
        <v>299</v>
      </c>
      <c r="J67" s="86" t="s">
        <v>21</v>
      </c>
      <c r="K67" s="8" t="s">
        <v>238</v>
      </c>
      <c r="L67" s="8"/>
    </row>
    <row r="68" spans="5:12">
      <c r="E68" s="2" t="s">
        <v>6</v>
      </c>
      <c r="F68" s="8" t="s">
        <v>6</v>
      </c>
      <c r="G68" s="8" t="s">
        <v>10</v>
      </c>
      <c r="H68" s="8" t="s">
        <v>114</v>
      </c>
      <c r="I68" s="66" t="s">
        <v>300</v>
      </c>
      <c r="J68" s="86" t="s">
        <v>351</v>
      </c>
      <c r="K68" s="8" t="s">
        <v>238</v>
      </c>
      <c r="L68" s="8"/>
    </row>
    <row r="69" spans="5:12">
      <c r="E69" s="2" t="s">
        <v>6</v>
      </c>
      <c r="F69" s="8" t="s">
        <v>6</v>
      </c>
      <c r="G69" s="8" t="s">
        <v>10</v>
      </c>
      <c r="H69" s="8" t="s">
        <v>114</v>
      </c>
      <c r="I69" s="66" t="s">
        <v>301</v>
      </c>
      <c r="J69" s="86" t="s">
        <v>230</v>
      </c>
      <c r="K69" s="8" t="s">
        <v>238</v>
      </c>
      <c r="L69" s="8"/>
    </row>
    <row r="70" spans="5:12">
      <c r="E70" s="2" t="s">
        <v>6</v>
      </c>
      <c r="F70" s="8" t="s">
        <v>6</v>
      </c>
      <c r="G70" s="8" t="s">
        <v>10</v>
      </c>
      <c r="H70" s="8" t="s">
        <v>114</v>
      </c>
      <c r="I70" s="66" t="s">
        <v>302</v>
      </c>
      <c r="J70" s="86" t="s">
        <v>276</v>
      </c>
      <c r="K70" s="8" t="s">
        <v>238</v>
      </c>
      <c r="L70" s="8"/>
    </row>
    <row r="71" spans="5:12">
      <c r="E71" s="2" t="s">
        <v>6</v>
      </c>
      <c r="F71" s="8" t="s">
        <v>6</v>
      </c>
      <c r="G71" s="8" t="s">
        <v>10</v>
      </c>
      <c r="H71" s="8" t="s">
        <v>114</v>
      </c>
      <c r="I71" s="66" t="s">
        <v>159</v>
      </c>
      <c r="J71" s="86" t="s">
        <v>229</v>
      </c>
      <c r="K71" s="8" t="s">
        <v>238</v>
      </c>
      <c r="L71" s="8"/>
    </row>
    <row r="72" spans="5:12">
      <c r="E72" s="2" t="s">
        <v>6</v>
      </c>
      <c r="F72" s="8" t="s">
        <v>6</v>
      </c>
      <c r="G72" s="8" t="s">
        <v>10</v>
      </c>
      <c r="H72" s="8" t="s">
        <v>114</v>
      </c>
      <c r="I72" s="66" t="s">
        <v>133</v>
      </c>
      <c r="J72" s="86" t="s">
        <v>232</v>
      </c>
      <c r="K72" s="8" t="s">
        <v>238</v>
      </c>
      <c r="L72" s="8"/>
    </row>
    <row r="73" spans="5:12">
      <c r="E73" s="2" t="s">
        <v>6</v>
      </c>
      <c r="F73" s="8" t="s">
        <v>6</v>
      </c>
      <c r="G73" s="8" t="s">
        <v>10</v>
      </c>
      <c r="H73" s="8" t="s">
        <v>114</v>
      </c>
      <c r="I73" s="66" t="s">
        <v>303</v>
      </c>
      <c r="J73" s="86" t="s">
        <v>228</v>
      </c>
      <c r="K73" s="8" t="s">
        <v>238</v>
      </c>
      <c r="L73" s="8"/>
    </row>
    <row r="74" spans="5:12">
      <c r="E74" s="2" t="s">
        <v>6</v>
      </c>
      <c r="F74" s="8" t="s">
        <v>6</v>
      </c>
      <c r="G74" s="8" t="s">
        <v>10</v>
      </c>
      <c r="H74" s="8" t="s">
        <v>114</v>
      </c>
      <c r="I74" s="66" t="s">
        <v>305</v>
      </c>
      <c r="J74" s="86" t="s">
        <v>228</v>
      </c>
      <c r="K74" s="8" t="s">
        <v>238</v>
      </c>
      <c r="L74" s="8"/>
    </row>
    <row r="75" spans="5:12">
      <c r="E75" s="2" t="s">
        <v>6</v>
      </c>
      <c r="F75" s="8" t="s">
        <v>6</v>
      </c>
      <c r="G75" s="8" t="s">
        <v>10</v>
      </c>
      <c r="H75" s="8" t="s">
        <v>114</v>
      </c>
      <c r="I75" s="66" t="s">
        <v>429</v>
      </c>
      <c r="J75" s="86" t="s">
        <v>236</v>
      </c>
      <c r="K75" s="8" t="s">
        <v>238</v>
      </c>
      <c r="L75" s="8"/>
    </row>
    <row r="76" spans="5:12">
      <c r="E76" s="2" t="s">
        <v>6</v>
      </c>
      <c r="F76" s="8" t="s">
        <v>6</v>
      </c>
      <c r="G76" s="8" t="s">
        <v>10</v>
      </c>
      <c r="H76" s="8" t="s">
        <v>114</v>
      </c>
      <c r="I76" s="66" t="s">
        <v>304</v>
      </c>
      <c r="J76" s="86" t="s">
        <v>227</v>
      </c>
      <c r="K76" s="8" t="s">
        <v>238</v>
      </c>
      <c r="L76" s="8"/>
    </row>
    <row r="77" spans="5:12">
      <c r="E77" s="2" t="s">
        <v>6</v>
      </c>
      <c r="F77" s="8" t="s">
        <v>6</v>
      </c>
      <c r="G77" s="8" t="s">
        <v>10</v>
      </c>
      <c r="H77" s="8" t="s">
        <v>114</v>
      </c>
      <c r="I77" s="66" t="s">
        <v>163</v>
      </c>
      <c r="J77" s="86" t="s">
        <v>20</v>
      </c>
      <c r="K77" s="8" t="s">
        <v>238</v>
      </c>
      <c r="L77" s="8"/>
    </row>
    <row r="78" spans="5:12">
      <c r="E78" s="2" t="s">
        <v>6</v>
      </c>
      <c r="F78" s="8" t="s">
        <v>6</v>
      </c>
      <c r="G78" s="8" t="s">
        <v>10</v>
      </c>
      <c r="H78" s="8" t="s">
        <v>114</v>
      </c>
      <c r="I78" s="66" t="s">
        <v>143</v>
      </c>
      <c r="J78" s="86" t="s">
        <v>20</v>
      </c>
      <c r="K78" s="8" t="s">
        <v>238</v>
      </c>
      <c r="L78" s="2"/>
    </row>
    <row r="79" spans="5:12">
      <c r="E79" s="2" t="s">
        <v>6</v>
      </c>
      <c r="F79" s="8" t="s">
        <v>6</v>
      </c>
      <c r="G79" s="8" t="s">
        <v>10</v>
      </c>
      <c r="H79" s="8" t="s">
        <v>114</v>
      </c>
      <c r="I79" s="66" t="s">
        <v>238</v>
      </c>
      <c r="J79" s="86" t="s">
        <v>258</v>
      </c>
      <c r="K79" s="8" t="s">
        <v>238</v>
      </c>
      <c r="L79" s="2"/>
    </row>
    <row r="80" spans="5:12">
      <c r="E80" s="31" t="s">
        <v>237</v>
      </c>
      <c r="F80" s="32" t="s">
        <v>237</v>
      </c>
      <c r="G80" s="32" t="s">
        <v>12</v>
      </c>
      <c r="H80" s="32" t="s">
        <v>169</v>
      </c>
      <c r="I80" s="32" t="s">
        <v>238</v>
      </c>
      <c r="J80" s="32" t="s">
        <v>237</v>
      </c>
      <c r="K80" s="32" t="s">
        <v>238</v>
      </c>
      <c r="L80" s="2"/>
    </row>
    <row r="81" spans="12:12">
      <c r="L81" s="2"/>
    </row>
    <row r="111" spans="5:12">
      <c r="E111" s="2"/>
      <c r="F111" s="8"/>
      <c r="G111" s="8"/>
      <c r="H111" s="8"/>
      <c r="I111" s="230"/>
      <c r="J111" s="86"/>
      <c r="K111" s="8"/>
      <c r="L111" s="2"/>
    </row>
    <row r="112" spans="5:12">
      <c r="E112" s="2"/>
      <c r="F112" s="8"/>
      <c r="G112" s="8"/>
      <c r="H112" s="8"/>
      <c r="I112" s="230"/>
      <c r="J112" s="86"/>
      <c r="K112" s="8"/>
      <c r="L112" s="2"/>
    </row>
    <row r="113" spans="5:12">
      <c r="I113" s="230"/>
      <c r="J113" s="86"/>
      <c r="K113" s="8"/>
    </row>
    <row r="114" spans="5:12">
      <c r="E114" s="2"/>
      <c r="F114" s="8"/>
      <c r="G114" s="8"/>
      <c r="H114" s="8"/>
      <c r="I114" s="230"/>
      <c r="J114" s="86"/>
      <c r="K114" s="8"/>
      <c r="L114" s="2" t="str">
        <f t="shared" ref="L114:L116" si="0">G114&amp;"_"&amp;I114</f>
        <v>_</v>
      </c>
    </row>
    <row r="115" spans="5:12">
      <c r="E115" s="2"/>
      <c r="F115" s="8"/>
      <c r="G115" s="8"/>
      <c r="H115" s="8"/>
      <c r="I115" s="230"/>
      <c r="J115" s="86"/>
      <c r="K115" s="8"/>
      <c r="L115" s="2" t="str">
        <f t="shared" si="0"/>
        <v>_</v>
      </c>
    </row>
    <row r="116" spans="5:12">
      <c r="E116" s="2"/>
      <c r="F116" s="8"/>
      <c r="G116" s="8"/>
      <c r="H116" s="8"/>
      <c r="I116" s="230"/>
      <c r="J116" s="86"/>
      <c r="K116" s="8"/>
      <c r="L116" s="2" t="str">
        <f t="shared" si="0"/>
        <v>_</v>
      </c>
    </row>
    <row r="117" spans="5:12">
      <c r="E117" s="2"/>
      <c r="F117" s="8"/>
      <c r="G117" s="8"/>
      <c r="H117" s="8"/>
      <c r="I117" s="230"/>
      <c r="J117" s="86"/>
      <c r="K117" s="8"/>
      <c r="L117" s="2"/>
    </row>
    <row r="118" spans="5:12">
      <c r="E118" s="2"/>
      <c r="F118" s="8"/>
      <c r="G118" s="8"/>
      <c r="H118" s="8"/>
      <c r="I118" s="230"/>
      <c r="J118" s="86"/>
      <c r="K118" s="8"/>
      <c r="L118" s="2"/>
    </row>
    <row r="119" spans="5:12">
      <c r="E119" s="155"/>
      <c r="F119" s="232"/>
      <c r="G119" s="232"/>
      <c r="H119" s="232"/>
      <c r="I119" s="235"/>
      <c r="J119" s="232"/>
      <c r="K119" s="8"/>
      <c r="L119" s="2"/>
    </row>
    <row r="120" spans="5:12">
      <c r="E120" s="155"/>
      <c r="F120" s="232"/>
      <c r="G120" s="232"/>
      <c r="H120" s="232"/>
      <c r="I120" s="235"/>
      <c r="J120" s="232"/>
      <c r="K120" s="8"/>
      <c r="L120" s="2"/>
    </row>
    <row r="121" spans="5:12">
      <c r="E121" s="2"/>
      <c r="F121" s="8"/>
      <c r="G121" s="8"/>
      <c r="H121" s="8"/>
      <c r="I121" s="230"/>
      <c r="J121" s="86"/>
      <c r="K121" s="8"/>
      <c r="L121" s="2"/>
    </row>
    <row r="122" spans="5:12">
      <c r="E122" s="2"/>
      <c r="F122" s="8"/>
      <c r="G122" s="8"/>
      <c r="H122" s="8"/>
      <c r="I122" s="230"/>
      <c r="J122" s="86"/>
      <c r="K122" s="8"/>
      <c r="L122" s="2"/>
    </row>
    <row r="123" spans="5:12">
      <c r="E123" s="2"/>
      <c r="F123" s="8"/>
      <c r="G123" s="8"/>
      <c r="H123" s="8"/>
      <c r="I123" s="230"/>
      <c r="J123" s="86"/>
      <c r="K123" s="8"/>
      <c r="L123" s="2"/>
    </row>
    <row r="124" spans="5:12">
      <c r="E124" s="2"/>
      <c r="F124" s="8"/>
      <c r="G124" s="8"/>
      <c r="H124" s="8"/>
      <c r="I124" s="230"/>
      <c r="J124" s="86"/>
      <c r="K124" s="8"/>
      <c r="L124" s="2"/>
    </row>
    <row r="125" spans="5:12">
      <c r="E125" s="2"/>
      <c r="F125" s="8"/>
      <c r="G125" s="8"/>
      <c r="H125" s="8"/>
      <c r="I125" s="230"/>
      <c r="J125" s="86"/>
      <c r="K125" s="8"/>
      <c r="L125" s="2"/>
    </row>
    <row r="126" spans="5:12">
      <c r="E126" s="2"/>
      <c r="F126" s="8"/>
      <c r="G126" s="8"/>
      <c r="H126" s="8"/>
      <c r="I126" s="230"/>
      <c r="J126" s="86"/>
      <c r="K126" s="8"/>
      <c r="L126" s="2"/>
    </row>
    <row r="127" spans="5:12">
      <c r="E127" s="2"/>
      <c r="F127" s="8"/>
      <c r="G127" s="8"/>
      <c r="H127" s="8"/>
      <c r="I127" s="230"/>
      <c r="J127" s="86"/>
      <c r="K127" s="8"/>
      <c r="L127" s="2"/>
    </row>
    <row r="203" spans="5:12">
      <c r="E203" s="31"/>
      <c r="F203" s="32"/>
      <c r="G203" s="32"/>
      <c r="H203" s="32"/>
      <c r="I203" s="31"/>
      <c r="J203" s="32"/>
      <c r="K203" s="8"/>
      <c r="L203" s="2"/>
    </row>
    <row r="204" spans="5:12">
      <c r="E204" s="2"/>
      <c r="F204" s="8"/>
      <c r="G204" s="8"/>
      <c r="H204" s="8"/>
      <c r="I204" s="66"/>
      <c r="J204" s="86"/>
      <c r="K204" s="8"/>
      <c r="L204" s="2"/>
    </row>
    <row r="205" spans="5:12">
      <c r="E205" s="2"/>
      <c r="F205" s="8"/>
      <c r="G205" s="8"/>
      <c r="H205" s="8"/>
      <c r="I205" s="66"/>
      <c r="J205" s="86"/>
      <c r="K205" s="8"/>
      <c r="L205" s="2"/>
    </row>
    <row r="206" spans="5:12">
      <c r="E206" s="2"/>
      <c r="F206" s="8"/>
      <c r="G206" s="8"/>
      <c r="H206" s="8"/>
      <c r="I206" s="66"/>
      <c r="J206" s="86"/>
      <c r="K206" s="8"/>
      <c r="L206" s="2"/>
    </row>
    <row r="207" spans="5:12">
      <c r="E207" s="2"/>
      <c r="F207" s="8"/>
      <c r="G207" s="8"/>
      <c r="H207" s="8"/>
      <c r="I207" s="66"/>
      <c r="J207" s="86"/>
      <c r="K207" s="8"/>
      <c r="L207" s="2"/>
    </row>
    <row r="208" spans="5:12">
      <c r="E208" s="2"/>
      <c r="F208" s="8"/>
      <c r="G208" s="8"/>
      <c r="H208" s="8"/>
      <c r="I208" s="66"/>
      <c r="J208" s="86"/>
      <c r="K208" s="8"/>
      <c r="L208" s="2"/>
    </row>
    <row r="209" spans="5:12">
      <c r="E209" s="2"/>
      <c r="F209" s="8"/>
      <c r="G209" s="8"/>
      <c r="H209" s="8"/>
      <c r="I209" s="66"/>
      <c r="J209" s="86"/>
      <c r="K209" s="8"/>
      <c r="L209" s="2"/>
    </row>
    <row r="210" spans="5:12">
      <c r="E210" s="2"/>
      <c r="F210" s="8"/>
      <c r="G210" s="8"/>
      <c r="H210" s="8"/>
      <c r="I210" s="66"/>
      <c r="J210" s="86"/>
      <c r="K210" s="8"/>
      <c r="L210" s="2"/>
    </row>
    <row r="211" spans="5:12">
      <c r="E211" s="2"/>
      <c r="F211" s="8"/>
      <c r="G211" s="8"/>
      <c r="H211" s="8"/>
      <c r="I211" s="66"/>
      <c r="J211" s="86"/>
      <c r="K211" s="8"/>
      <c r="L211" s="2"/>
    </row>
    <row r="212" spans="5:12">
      <c r="E212" s="2"/>
      <c r="F212" s="8"/>
      <c r="G212" s="8"/>
      <c r="H212" s="8"/>
      <c r="I212" s="66"/>
      <c r="J212" s="86"/>
      <c r="K212" s="8"/>
      <c r="L212" s="2"/>
    </row>
    <row r="213" spans="5:12">
      <c r="L213" s="2"/>
    </row>
    <row r="214" spans="5:12">
      <c r="L214" s="2"/>
    </row>
    <row r="215" spans="5:12">
      <c r="L215" s="2"/>
    </row>
    <row r="216" spans="5:12">
      <c r="L216" s="2"/>
    </row>
    <row r="217" spans="5:12">
      <c r="L217" s="2"/>
    </row>
    <row r="218" spans="5:12">
      <c r="E218" s="2"/>
      <c r="F218" s="8"/>
      <c r="G218" s="8"/>
      <c r="H218" s="8"/>
      <c r="I218" s="66"/>
      <c r="J218" s="86"/>
      <c r="K218" s="8"/>
      <c r="L218" s="2"/>
    </row>
    <row r="219" spans="5:12">
      <c r="E219" s="2"/>
      <c r="F219" s="8"/>
      <c r="G219" s="8"/>
      <c r="H219" s="8"/>
      <c r="I219" s="66"/>
      <c r="J219" s="86"/>
      <c r="K219" s="8"/>
      <c r="L219" s="2"/>
    </row>
    <row r="220" spans="5:12">
      <c r="E220" s="2"/>
      <c r="F220" s="8"/>
      <c r="G220" s="8"/>
      <c r="H220" s="8"/>
      <c r="I220" s="66"/>
      <c r="J220" s="86"/>
      <c r="K220" s="8"/>
      <c r="L220" s="2"/>
    </row>
    <row r="221" spans="5:12" ht="15" customHeight="1">
      <c r="E221" s="2"/>
      <c r="F221" s="8"/>
      <c r="G221" s="8"/>
      <c r="H221" s="8"/>
      <c r="I221" s="66"/>
      <c r="J221" s="86"/>
      <c r="K221" s="8"/>
      <c r="L221" s="2"/>
    </row>
    <row r="222" spans="5:12" ht="15" customHeight="1">
      <c r="E222" s="2"/>
      <c r="F222" s="8"/>
      <c r="G222" s="8"/>
      <c r="H222" s="8"/>
      <c r="I222" s="66"/>
      <c r="J222" s="86"/>
      <c r="K222" s="8"/>
      <c r="L222" s="2"/>
    </row>
    <row r="223" spans="5:12">
      <c r="E223" s="2"/>
      <c r="F223" s="8"/>
      <c r="G223" s="8"/>
      <c r="H223" s="8"/>
      <c r="I223" s="66"/>
      <c r="J223" s="86"/>
      <c r="K223" s="8"/>
      <c r="L223" s="2"/>
    </row>
    <row r="224" spans="5:12">
      <c r="E224" s="2"/>
      <c r="F224" s="8"/>
      <c r="G224" s="8"/>
      <c r="H224" s="8"/>
      <c r="I224" s="66"/>
      <c r="J224" s="86"/>
      <c r="K224" s="8"/>
      <c r="L224" s="2"/>
    </row>
    <row r="225" spans="5:12">
      <c r="E225" s="2"/>
      <c r="F225" s="8"/>
      <c r="G225" s="8"/>
      <c r="H225" s="8"/>
      <c r="I225" s="66"/>
      <c r="J225" s="86"/>
      <c r="K225" s="8"/>
      <c r="L225" s="2"/>
    </row>
    <row r="226" spans="5:12">
      <c r="E226" s="2"/>
      <c r="F226" s="8"/>
      <c r="G226" s="8"/>
      <c r="H226" s="8"/>
      <c r="I226" s="66"/>
      <c r="J226" s="86"/>
      <c r="K226" s="8"/>
      <c r="L226" s="2"/>
    </row>
    <row r="227" spans="5:12">
      <c r="E227" s="2"/>
      <c r="F227" s="8"/>
      <c r="G227" s="8"/>
      <c r="H227" s="8"/>
      <c r="I227" s="66"/>
      <c r="J227" s="86"/>
      <c r="K227" s="8"/>
      <c r="L227" s="2"/>
    </row>
    <row r="228" spans="5:12">
      <c r="E228" s="2"/>
      <c r="F228" s="8"/>
      <c r="G228" s="8"/>
      <c r="H228" s="8"/>
      <c r="I228" s="66"/>
      <c r="J228" s="86"/>
      <c r="K228" s="8"/>
      <c r="L228" s="2"/>
    </row>
    <row r="229" spans="5:12">
      <c r="E229" s="2"/>
      <c r="F229" s="8"/>
      <c r="G229" s="8"/>
      <c r="H229" s="8"/>
      <c r="I229" s="66"/>
      <c r="J229" s="86"/>
      <c r="K229" s="8"/>
      <c r="L229" s="2"/>
    </row>
    <row r="230" spans="5:12">
      <c r="E230" s="2"/>
      <c r="F230" s="8"/>
      <c r="G230" s="8"/>
      <c r="H230" s="8"/>
      <c r="I230" s="66"/>
      <c r="J230" s="86"/>
      <c r="K230" s="8"/>
      <c r="L230" s="2"/>
    </row>
    <row r="231" spans="5:12">
      <c r="E231" s="2"/>
      <c r="F231" s="8"/>
      <c r="G231" s="8"/>
      <c r="H231" s="8"/>
      <c r="I231" s="66"/>
      <c r="J231" s="86"/>
      <c r="K231" s="8"/>
      <c r="L231" s="2"/>
    </row>
    <row r="232" spans="5:12">
      <c r="E232" s="2"/>
      <c r="F232" s="8"/>
      <c r="G232" s="8"/>
      <c r="H232" s="8"/>
      <c r="I232" s="66"/>
      <c r="J232" s="86"/>
      <c r="K232" s="8"/>
      <c r="L232" s="2"/>
    </row>
    <row r="233" spans="5:12">
      <c r="E233" s="2"/>
      <c r="F233" s="8"/>
      <c r="G233" s="8"/>
      <c r="H233" s="8"/>
      <c r="I233" s="66"/>
      <c r="J233" s="86"/>
      <c r="K233" s="8"/>
      <c r="L233" s="2"/>
    </row>
    <row r="234" spans="5:12">
      <c r="E234" s="2"/>
      <c r="F234" s="8"/>
      <c r="G234" s="8"/>
      <c r="H234" s="8"/>
      <c r="I234" s="66"/>
      <c r="J234" s="86"/>
      <c r="K234" s="8"/>
      <c r="L234" s="2"/>
    </row>
    <row r="235" spans="5:12">
      <c r="E235" s="2"/>
      <c r="F235" s="8"/>
      <c r="G235" s="8"/>
      <c r="H235" s="8"/>
      <c r="I235" s="66"/>
      <c r="J235" s="86"/>
      <c r="K235" s="8"/>
      <c r="L235" s="2"/>
    </row>
    <row r="236" spans="5:12">
      <c r="L236" s="2"/>
    </row>
    <row r="237" spans="5:12">
      <c r="E237" s="2"/>
      <c r="F237" s="8"/>
      <c r="G237" s="8"/>
      <c r="H237" s="8"/>
      <c r="I237" s="66"/>
      <c r="J237" s="86"/>
      <c r="K237" s="8"/>
      <c r="L237" s="2"/>
    </row>
    <row r="238" spans="5:12">
      <c r="E238" s="2"/>
      <c r="F238" s="8"/>
      <c r="G238" s="8"/>
      <c r="H238" s="8"/>
      <c r="I238" s="66"/>
      <c r="J238" s="86"/>
      <c r="K238" s="8"/>
      <c r="L238" s="2"/>
    </row>
    <row r="239" spans="5:12">
      <c r="E239" s="2"/>
      <c r="F239" s="8"/>
      <c r="G239" s="8"/>
      <c r="H239" s="8"/>
      <c r="I239" s="66"/>
      <c r="J239" s="86"/>
      <c r="K239" s="8"/>
      <c r="L239" s="2"/>
    </row>
    <row r="240" spans="5:12">
      <c r="E240" s="2"/>
      <c r="F240" s="8"/>
      <c r="G240" s="8"/>
      <c r="H240" s="8"/>
      <c r="I240" s="66"/>
      <c r="J240" s="86"/>
      <c r="K240" s="8"/>
      <c r="L240" s="2"/>
    </row>
    <row r="241" spans="5:12">
      <c r="E241" s="2"/>
      <c r="F241" s="8"/>
      <c r="G241" s="8"/>
      <c r="H241" s="8"/>
      <c r="I241" s="66"/>
      <c r="J241" s="86"/>
      <c r="K241" s="8"/>
      <c r="L241" s="2"/>
    </row>
    <row r="242" spans="5:12">
      <c r="E242" s="2"/>
      <c r="F242" s="8"/>
      <c r="G242" s="8"/>
      <c r="H242" s="8"/>
      <c r="I242" s="66"/>
      <c r="J242" s="86"/>
      <c r="K242" s="8"/>
      <c r="L242" s="2"/>
    </row>
    <row r="243" spans="5:12">
      <c r="E243" s="2"/>
      <c r="F243" s="8"/>
      <c r="G243" s="8"/>
      <c r="H243" s="8"/>
      <c r="I243" s="66"/>
      <c r="J243" s="86"/>
      <c r="K243" s="8"/>
      <c r="L243" s="2"/>
    </row>
    <row r="244" spans="5:12">
      <c r="E244" s="2"/>
      <c r="F244" s="8"/>
      <c r="G244" s="8"/>
      <c r="H244" s="8"/>
      <c r="I244" s="66"/>
      <c r="J244" s="86"/>
      <c r="K244" s="8"/>
      <c r="L244" s="2"/>
    </row>
    <row r="245" spans="5:12">
      <c r="E245" s="2"/>
      <c r="F245" s="8"/>
      <c r="G245" s="8"/>
      <c r="H245" s="8"/>
      <c r="I245" s="66"/>
      <c r="J245" s="86"/>
      <c r="K245" s="8"/>
      <c r="L245" s="2"/>
    </row>
    <row r="246" spans="5:12">
      <c r="E246" s="2"/>
      <c r="F246" s="8"/>
      <c r="G246" s="8"/>
      <c r="H246" s="8"/>
      <c r="I246" s="66"/>
      <c r="J246" s="86"/>
      <c r="K246" s="8"/>
      <c r="L246" s="2"/>
    </row>
    <row r="247" spans="5:12">
      <c r="E247" s="2"/>
      <c r="F247" s="8"/>
      <c r="G247" s="8"/>
      <c r="H247" s="8"/>
      <c r="I247" s="66"/>
      <c r="J247" s="86"/>
      <c r="K247" s="8"/>
      <c r="L247" s="2"/>
    </row>
    <row r="248" spans="5:12">
      <c r="E248" s="2"/>
      <c r="F248" s="8"/>
      <c r="G248" s="8"/>
      <c r="H248" s="8"/>
      <c r="I248" s="66"/>
      <c r="J248" s="86"/>
      <c r="K248" s="8"/>
      <c r="L248" s="2"/>
    </row>
    <row r="249" spans="5:12">
      <c r="E249" s="2"/>
      <c r="F249" s="8"/>
      <c r="G249" s="8"/>
      <c r="H249" s="8"/>
      <c r="I249" s="66"/>
      <c r="J249" s="86"/>
      <c r="K249" s="8"/>
      <c r="L249" s="2"/>
    </row>
    <row r="250" spans="5:12">
      <c r="E250" s="2"/>
      <c r="F250" s="8"/>
      <c r="G250" s="8"/>
      <c r="H250" s="8"/>
      <c r="I250" s="66"/>
      <c r="J250" s="86"/>
      <c r="K250" s="8"/>
      <c r="L250" s="2"/>
    </row>
    <row r="251" spans="5:12">
      <c r="E251" s="2"/>
      <c r="F251" s="8"/>
      <c r="G251" s="8"/>
      <c r="H251" s="8"/>
      <c r="I251" s="66"/>
      <c r="J251" s="86"/>
      <c r="K251" s="8"/>
      <c r="L251" s="2"/>
    </row>
    <row r="252" spans="5:12">
      <c r="E252" s="2"/>
      <c r="F252" s="8"/>
      <c r="G252" s="8"/>
      <c r="H252" s="8"/>
      <c r="I252" s="66"/>
      <c r="J252" s="86"/>
      <c r="K252" s="8"/>
      <c r="L252" s="2"/>
    </row>
    <row r="253" spans="5:12">
      <c r="E253" s="2"/>
      <c r="F253" s="8"/>
      <c r="G253" s="8"/>
      <c r="H253" s="8"/>
      <c r="I253" s="66"/>
      <c r="J253" s="86"/>
      <c r="K253" s="8"/>
      <c r="L253" s="149"/>
    </row>
    <row r="254" spans="5:12">
      <c r="E254" s="2"/>
      <c r="F254" s="8"/>
      <c r="G254" s="8"/>
      <c r="H254" s="8"/>
      <c r="I254" s="66"/>
      <c r="J254" s="86"/>
      <c r="K254" s="8"/>
      <c r="L254" s="149"/>
    </row>
    <row r="255" spans="5:12">
      <c r="E255" s="2"/>
      <c r="F255" s="8"/>
      <c r="G255" s="8"/>
      <c r="H255" s="8"/>
      <c r="I255" s="66"/>
      <c r="J255" s="86"/>
      <c r="K255" s="8"/>
      <c r="L255" s="149"/>
    </row>
    <row r="256" spans="5:12">
      <c r="E256" s="2"/>
      <c r="F256" s="8"/>
      <c r="G256" s="8"/>
      <c r="H256" s="8"/>
      <c r="I256" s="66"/>
      <c r="J256" s="86"/>
      <c r="K256" s="8"/>
      <c r="L256" s="149"/>
    </row>
    <row r="257" spans="5:12">
      <c r="E257" s="2"/>
      <c r="F257" s="8"/>
      <c r="G257" s="8"/>
      <c r="H257" s="8"/>
      <c r="I257" s="66"/>
      <c r="J257" s="86"/>
      <c r="K257" s="8"/>
      <c r="L257" s="149"/>
    </row>
    <row r="258" spans="5:12">
      <c r="E258" s="2"/>
      <c r="F258" s="8"/>
      <c r="G258" s="8"/>
      <c r="H258" s="8"/>
      <c r="I258" s="66"/>
      <c r="J258" s="86"/>
      <c r="K258" s="8"/>
      <c r="L258" s="149"/>
    </row>
    <row r="259" spans="5:12">
      <c r="E259" s="2"/>
      <c r="F259" s="8"/>
      <c r="G259" s="8"/>
      <c r="H259" s="8"/>
      <c r="I259" s="66"/>
      <c r="J259" s="86"/>
      <c r="K259" s="8"/>
      <c r="L259" s="149"/>
    </row>
    <row r="260" spans="5:12">
      <c r="E260" s="2"/>
      <c r="F260" s="8"/>
      <c r="G260" s="8"/>
      <c r="H260" s="8"/>
      <c r="I260" s="66"/>
      <c r="J260" s="86"/>
      <c r="K260" s="8"/>
      <c r="L260" s="149"/>
    </row>
    <row r="261" spans="5:12">
      <c r="E261" s="2"/>
      <c r="F261" s="8"/>
      <c r="G261" s="8"/>
      <c r="H261" s="8"/>
      <c r="I261" s="66"/>
      <c r="J261" s="86"/>
      <c r="K261" s="8"/>
      <c r="L261" s="149"/>
    </row>
    <row r="262" spans="5:12">
      <c r="E262" s="2"/>
      <c r="F262" s="8"/>
      <c r="G262" s="8"/>
      <c r="H262" s="8"/>
      <c r="I262" s="66"/>
      <c r="J262" s="86"/>
      <c r="K262" s="8"/>
      <c r="L262" s="149"/>
    </row>
    <row r="263" spans="5:12">
      <c r="E263" s="2"/>
      <c r="F263" s="8"/>
      <c r="G263" s="8"/>
      <c r="H263" s="8"/>
      <c r="I263" s="66"/>
      <c r="J263" s="86"/>
      <c r="K263" s="8"/>
      <c r="L263" s="149"/>
    </row>
    <row r="264" spans="5:12">
      <c r="E264" s="2"/>
      <c r="F264" s="8"/>
      <c r="G264" s="8"/>
      <c r="H264" s="8"/>
      <c r="I264" s="66"/>
      <c r="J264" s="86"/>
      <c r="K264" s="8"/>
      <c r="L264" s="149"/>
    </row>
    <row r="265" spans="5:12">
      <c r="E265" s="2"/>
      <c r="F265" s="8"/>
      <c r="G265" s="8"/>
      <c r="H265" s="8"/>
      <c r="I265" s="66"/>
      <c r="J265" s="86"/>
      <c r="K265" s="8"/>
      <c r="L265" s="149"/>
    </row>
    <row r="266" spans="5:12">
      <c r="E266" s="2"/>
      <c r="F266" s="8"/>
      <c r="G266" s="8"/>
      <c r="H266" s="8"/>
      <c r="I266" s="66"/>
      <c r="J266" s="86"/>
      <c r="K266" s="8"/>
      <c r="L266" s="149"/>
    </row>
    <row r="267" spans="5:12">
      <c r="E267" s="2"/>
      <c r="F267" s="8"/>
      <c r="G267" s="8"/>
      <c r="H267" s="8"/>
      <c r="I267" s="66"/>
      <c r="J267" s="86"/>
      <c r="K267" s="8"/>
      <c r="L267" s="149"/>
    </row>
    <row r="268" spans="5:12">
      <c r="E268" s="2"/>
      <c r="F268" s="8"/>
      <c r="G268" s="8"/>
      <c r="H268" s="8"/>
      <c r="I268" s="66"/>
      <c r="J268" s="86"/>
      <c r="K268" s="8"/>
      <c r="L268" s="149"/>
    </row>
    <row r="269" spans="5:12">
      <c r="E269" s="2"/>
      <c r="F269" s="8"/>
      <c r="G269" s="8"/>
      <c r="H269" s="8"/>
      <c r="I269" s="66"/>
      <c r="J269" s="86"/>
      <c r="K269" s="8"/>
      <c r="L269" s="149"/>
    </row>
    <row r="270" spans="5:12">
      <c r="E270" s="2"/>
      <c r="I270" s="66"/>
      <c r="J270" s="86"/>
      <c r="K270" s="8"/>
      <c r="L270" s="149"/>
    </row>
    <row r="271" spans="5:12">
      <c r="E271" s="2"/>
      <c r="F271" s="8"/>
      <c r="G271" s="8"/>
      <c r="H271" s="8"/>
      <c r="I271" s="66"/>
      <c r="J271" s="86"/>
      <c r="K271" s="8"/>
      <c r="L271" s="149"/>
    </row>
    <row r="272" spans="5:12">
      <c r="E272" s="2"/>
      <c r="F272" s="8"/>
      <c r="G272" s="8"/>
      <c r="H272" s="8"/>
      <c r="I272" s="66"/>
      <c r="J272" s="86"/>
      <c r="K272" s="8"/>
      <c r="L272" s="149"/>
    </row>
    <row r="273" spans="5:12">
      <c r="E273" s="2"/>
      <c r="F273" s="8"/>
      <c r="G273" s="8"/>
      <c r="H273" s="8"/>
      <c r="I273" s="66"/>
      <c r="J273" s="86"/>
      <c r="K273" s="8"/>
      <c r="L273" s="149"/>
    </row>
    <row r="274" spans="5:12">
      <c r="E274" s="2"/>
      <c r="F274" s="8"/>
      <c r="G274" s="8"/>
      <c r="H274" s="8"/>
      <c r="I274" s="66"/>
      <c r="J274" s="86"/>
      <c r="K274" s="8"/>
      <c r="L274" s="149"/>
    </row>
    <row r="275" spans="5:12">
      <c r="E275" s="2"/>
      <c r="F275" s="8"/>
      <c r="G275" s="8"/>
      <c r="H275" s="8"/>
      <c r="I275" s="66"/>
      <c r="J275" s="86"/>
      <c r="K275" s="8"/>
      <c r="L275" s="149"/>
    </row>
    <row r="276" spans="5:12">
      <c r="E276" s="2"/>
      <c r="F276" s="8"/>
      <c r="G276" s="8"/>
      <c r="H276" s="8"/>
      <c r="I276" s="66"/>
      <c r="J276" s="86"/>
      <c r="K276" s="8"/>
      <c r="L276" s="149"/>
    </row>
    <row r="277" spans="5:12">
      <c r="E277" s="2"/>
      <c r="F277" s="8"/>
      <c r="G277" s="8"/>
      <c r="H277" s="8"/>
      <c r="I277" s="66"/>
      <c r="J277" s="86"/>
      <c r="K277" s="8"/>
      <c r="L277" s="149"/>
    </row>
    <row r="278" spans="5:12">
      <c r="E278" s="2"/>
      <c r="F278" s="8"/>
      <c r="G278" s="8"/>
      <c r="H278" s="8"/>
      <c r="I278" s="66"/>
      <c r="J278" s="86"/>
      <c r="K278" s="8"/>
      <c r="L278" s="149"/>
    </row>
    <row r="279" spans="5:12">
      <c r="E279" s="2"/>
      <c r="F279" s="8"/>
      <c r="G279" s="8"/>
      <c r="H279" s="8"/>
      <c r="I279" s="66"/>
      <c r="J279" s="86"/>
      <c r="K279" s="8"/>
      <c r="L279" s="149"/>
    </row>
    <row r="280" spans="5:12">
      <c r="E280" s="2"/>
      <c r="F280" s="8"/>
      <c r="G280" s="8"/>
      <c r="H280" s="8"/>
      <c r="I280" s="66"/>
      <c r="J280" s="86"/>
      <c r="K280" s="8"/>
      <c r="L280" s="149"/>
    </row>
    <row r="281" spans="5:12">
      <c r="E281" s="2"/>
      <c r="F281" s="8"/>
      <c r="G281" s="8"/>
      <c r="H281" s="8"/>
      <c r="I281" s="66"/>
      <c r="J281" s="86"/>
      <c r="K281" s="8"/>
      <c r="L281" s="149"/>
    </row>
    <row r="282" spans="5:12">
      <c r="E282" s="2"/>
      <c r="F282" s="8"/>
      <c r="G282" s="8"/>
      <c r="H282" s="8"/>
      <c r="I282" s="66"/>
      <c r="J282" s="86"/>
      <c r="K282" s="8"/>
      <c r="L282" s="149"/>
    </row>
    <row r="283" spans="5:12">
      <c r="E283" s="2"/>
      <c r="F283" s="8"/>
      <c r="G283" s="8"/>
      <c r="H283" s="8"/>
      <c r="I283" s="66"/>
      <c r="J283" s="86"/>
      <c r="K283" s="8"/>
      <c r="L283" s="149"/>
    </row>
    <row r="284" spans="5:12">
      <c r="E284" s="2"/>
      <c r="F284" s="8"/>
      <c r="G284" s="8"/>
      <c r="H284" s="8"/>
      <c r="I284" s="66"/>
      <c r="J284" s="86"/>
      <c r="K284" s="8"/>
      <c r="L284" s="149"/>
    </row>
    <row r="285" spans="5:12">
      <c r="E285" s="2"/>
      <c r="F285" s="8"/>
      <c r="G285" s="8"/>
      <c r="H285" s="8"/>
      <c r="I285" s="66"/>
      <c r="J285" s="86"/>
      <c r="K285" s="8"/>
      <c r="L285" s="149"/>
    </row>
    <row r="286" spans="5:12">
      <c r="E286" s="2"/>
      <c r="F286" s="8"/>
      <c r="G286" s="8"/>
      <c r="H286" s="8"/>
      <c r="I286" s="66"/>
      <c r="J286" s="86"/>
      <c r="K286" s="8"/>
      <c r="L286" s="149"/>
    </row>
    <row r="287" spans="5:12">
      <c r="E287" s="2"/>
      <c r="F287" s="8"/>
      <c r="G287" s="8"/>
      <c r="H287" s="8"/>
      <c r="I287" s="66"/>
      <c r="J287" s="86"/>
      <c r="K287" s="8"/>
      <c r="L287" s="149"/>
    </row>
    <row r="328" spans="12:12">
      <c r="L328" s="8"/>
    </row>
    <row r="329" spans="12:12">
      <c r="L329" s="8"/>
    </row>
    <row r="330" spans="12:12">
      <c r="L330" s="8"/>
    </row>
    <row r="331" spans="12:12">
      <c r="L331" s="8"/>
    </row>
    <row r="332" spans="12:12">
      <c r="L332" s="8"/>
    </row>
    <row r="333" spans="12:12">
      <c r="L333" s="8"/>
    </row>
    <row r="334" spans="12:12">
      <c r="L334" s="8"/>
    </row>
    <row r="335" spans="12:12">
      <c r="L335" s="8"/>
    </row>
    <row r="336" spans="12:12">
      <c r="L336" s="8"/>
    </row>
    <row r="337" spans="12:12">
      <c r="L337" s="8"/>
    </row>
    <row r="338" spans="12:12">
      <c r="L338" s="8"/>
    </row>
    <row r="339" spans="12:12">
      <c r="L339" s="8"/>
    </row>
    <row r="340" spans="12:12">
      <c r="L340" s="8"/>
    </row>
    <row r="341" spans="12:12">
      <c r="L341" s="8"/>
    </row>
    <row r="342" spans="12:12">
      <c r="L342" s="8"/>
    </row>
    <row r="343" spans="12:12">
      <c r="L343" s="8"/>
    </row>
    <row r="344" spans="12:12">
      <c r="L344" s="8"/>
    </row>
    <row r="345" spans="12:12">
      <c r="L345" s="8"/>
    </row>
    <row r="346" spans="12:12">
      <c r="L346" s="8"/>
    </row>
    <row r="347" spans="12:12">
      <c r="L347" s="8"/>
    </row>
    <row r="348" spans="12:12">
      <c r="L348" s="8"/>
    </row>
    <row r="349" spans="12:12">
      <c r="L349" s="8"/>
    </row>
    <row r="350" spans="12:12">
      <c r="L350" s="8"/>
    </row>
    <row r="351" spans="12:12">
      <c r="L351" s="8"/>
    </row>
    <row r="352" spans="12:12">
      <c r="L352" s="8"/>
    </row>
    <row r="353" spans="12:12">
      <c r="L353" s="8"/>
    </row>
    <row r="354" spans="12:12">
      <c r="L354" s="8"/>
    </row>
    <row r="355" spans="12:12">
      <c r="L355" s="2"/>
    </row>
    <row r="360" spans="12:12" ht="14.25" customHeight="1"/>
    <row r="361" spans="12:12" ht="14.25" customHeight="1"/>
    <row r="362" spans="12:12" ht="14.25" customHeight="1"/>
    <row r="363" spans="12:12">
      <c r="L363" s="8"/>
    </row>
    <row r="364" spans="12:12">
      <c r="L364" s="8"/>
    </row>
    <row r="403" spans="2:11">
      <c r="E403" s="2"/>
      <c r="F403" s="8"/>
      <c r="G403" s="8"/>
      <c r="H403" s="8"/>
      <c r="I403" s="2"/>
      <c r="J403" s="8"/>
      <c r="K403" s="8"/>
    </row>
    <row r="404" spans="2:11">
      <c r="E404" s="2"/>
      <c r="F404" s="8"/>
      <c r="G404" s="8"/>
      <c r="H404" s="8"/>
      <c r="I404" s="2"/>
      <c r="J404" s="8"/>
      <c r="K404" s="8"/>
    </row>
    <row r="405" spans="2:11">
      <c r="F405"/>
      <c r="G405"/>
      <c r="H405"/>
    </row>
    <row r="406" spans="2:11">
      <c r="F406"/>
      <c r="G406"/>
      <c r="H406"/>
    </row>
    <row r="407" spans="2:11">
      <c r="F407"/>
      <c r="G407"/>
      <c r="H407"/>
    </row>
    <row r="408" spans="2:11">
      <c r="F408"/>
      <c r="G408"/>
      <c r="H408"/>
    </row>
    <row r="409" spans="2:11">
      <c r="F409"/>
      <c r="G409"/>
      <c r="H409"/>
    </row>
    <row r="410" spans="2:11">
      <c r="F410"/>
      <c r="G410"/>
      <c r="H410"/>
    </row>
    <row r="411" spans="2:11">
      <c r="B411" s="21"/>
      <c r="F411"/>
      <c r="G411"/>
      <c r="H411"/>
    </row>
    <row r="412" spans="2:11">
      <c r="B412" s="21"/>
      <c r="F412"/>
      <c r="G412"/>
      <c r="H412"/>
    </row>
    <row r="413" spans="2:11">
      <c r="B413" s="21"/>
      <c r="F413"/>
      <c r="G413"/>
      <c r="H413"/>
    </row>
    <row r="414" spans="2:11">
      <c r="B414" s="20"/>
      <c r="F414"/>
      <c r="G414"/>
      <c r="H414"/>
    </row>
    <row r="415" spans="2:11">
      <c r="B415" s="20"/>
      <c r="F415"/>
      <c r="G415"/>
      <c r="H415"/>
    </row>
    <row r="416" spans="2:11">
      <c r="B416" s="20"/>
      <c r="F416"/>
      <c r="G416"/>
      <c r="H416"/>
    </row>
    <row r="417" spans="2:8">
      <c r="B417" s="21"/>
      <c r="F417"/>
      <c r="G417"/>
      <c r="H417"/>
    </row>
    <row r="418" spans="2:8">
      <c r="B418" s="21"/>
      <c r="F418"/>
      <c r="G418"/>
      <c r="H418"/>
    </row>
    <row r="419" spans="2:8">
      <c r="B419" s="21"/>
      <c r="F419"/>
      <c r="G419"/>
      <c r="H419"/>
    </row>
    <row r="420" spans="2:8">
      <c r="B420" s="21"/>
      <c r="F420"/>
      <c r="G420"/>
      <c r="H420"/>
    </row>
    <row r="421" spans="2:8">
      <c r="B421" s="21"/>
      <c r="F421"/>
      <c r="G421"/>
      <c r="H421"/>
    </row>
    <row r="422" spans="2:8">
      <c r="B422" s="21"/>
      <c r="F422"/>
      <c r="G422"/>
      <c r="H422"/>
    </row>
    <row r="423" spans="2:8">
      <c r="F423"/>
      <c r="G423"/>
      <c r="H423"/>
    </row>
    <row r="424" spans="2:8">
      <c r="F424"/>
      <c r="G424"/>
      <c r="H424"/>
    </row>
    <row r="425" spans="2:8">
      <c r="F425"/>
      <c r="G425"/>
      <c r="H425"/>
    </row>
    <row r="426" spans="2:8">
      <c r="F426"/>
      <c r="G426"/>
      <c r="H426"/>
    </row>
    <row r="427" spans="2:8">
      <c r="F427"/>
      <c r="G427"/>
      <c r="H427"/>
    </row>
    <row r="428" spans="2:8">
      <c r="F428"/>
      <c r="G428"/>
      <c r="H428"/>
    </row>
    <row r="429" spans="2:8">
      <c r="F429"/>
      <c r="G429"/>
      <c r="H429"/>
    </row>
    <row r="430" spans="2:8">
      <c r="F430"/>
      <c r="G430"/>
      <c r="H430"/>
    </row>
    <row r="431" spans="2:8">
      <c r="F431"/>
      <c r="G431"/>
      <c r="H431"/>
    </row>
    <row r="432" spans="2:8">
      <c r="F432"/>
      <c r="G432"/>
      <c r="H432"/>
    </row>
    <row r="433" spans="6:8">
      <c r="F433"/>
      <c r="G433"/>
      <c r="H433"/>
    </row>
    <row r="434" spans="6:8">
      <c r="F434"/>
      <c r="G434"/>
      <c r="H434"/>
    </row>
    <row r="435" spans="6:8">
      <c r="F435"/>
      <c r="G435"/>
      <c r="H435"/>
    </row>
    <row r="436" spans="6:8">
      <c r="F436"/>
      <c r="G436"/>
      <c r="H436"/>
    </row>
    <row r="437" spans="6:8">
      <c r="F437"/>
      <c r="G437"/>
      <c r="H437"/>
    </row>
    <row r="438" spans="6:8">
      <c r="F438"/>
      <c r="G438"/>
      <c r="H438"/>
    </row>
    <row r="439" spans="6:8">
      <c r="F439"/>
      <c r="G439"/>
      <c r="H439"/>
    </row>
    <row r="440" spans="6:8">
      <c r="F440"/>
      <c r="G440"/>
      <c r="H440"/>
    </row>
    <row r="441" spans="6:8">
      <c r="F441"/>
      <c r="G441"/>
      <c r="H441"/>
    </row>
    <row r="442" spans="6:8">
      <c r="F442"/>
      <c r="G442"/>
      <c r="H442"/>
    </row>
    <row r="443" spans="6:8">
      <c r="F443"/>
      <c r="G443"/>
      <c r="H443"/>
    </row>
    <row r="444" spans="6:8">
      <c r="F444"/>
      <c r="G444"/>
      <c r="H444"/>
    </row>
    <row r="445" spans="6:8">
      <c r="F445"/>
      <c r="G445"/>
      <c r="H445"/>
    </row>
    <row r="446" spans="6:8">
      <c r="F446"/>
      <c r="G446"/>
      <c r="H446"/>
    </row>
    <row r="447" spans="6:8">
      <c r="F447"/>
      <c r="G447"/>
      <c r="H447"/>
    </row>
    <row r="448" spans="6:8">
      <c r="F448"/>
      <c r="G448"/>
      <c r="H448"/>
    </row>
    <row r="449" spans="6:8">
      <c r="F449"/>
      <c r="G449"/>
      <c r="H449"/>
    </row>
    <row r="450" spans="6:8">
      <c r="F450"/>
      <c r="G450"/>
      <c r="H450"/>
    </row>
    <row r="451" spans="6:8">
      <c r="F451"/>
      <c r="G451"/>
      <c r="H451"/>
    </row>
    <row r="452" spans="6:8">
      <c r="F452"/>
      <c r="G452"/>
      <c r="H452"/>
    </row>
    <row r="453" spans="6:8">
      <c r="F453"/>
      <c r="G453"/>
      <c r="H453"/>
    </row>
    <row r="454" spans="6:8">
      <c r="F454"/>
      <c r="G454"/>
      <c r="H454"/>
    </row>
    <row r="455" spans="6:8">
      <c r="F455"/>
      <c r="G455"/>
      <c r="H455"/>
    </row>
    <row r="456" spans="6:8">
      <c r="F456"/>
      <c r="G456"/>
      <c r="H456"/>
    </row>
    <row r="457" spans="6:8">
      <c r="F457"/>
      <c r="G457"/>
      <c r="H457"/>
    </row>
    <row r="458" spans="6:8">
      <c r="F458"/>
      <c r="G458"/>
      <c r="H458"/>
    </row>
    <row r="459" spans="6:8">
      <c r="F459"/>
      <c r="G459"/>
      <c r="H459"/>
    </row>
    <row r="460" spans="6:8">
      <c r="F460"/>
      <c r="G460"/>
      <c r="H460"/>
    </row>
    <row r="461" spans="6:8">
      <c r="F461"/>
      <c r="G461"/>
      <c r="H461"/>
    </row>
    <row r="462" spans="6:8">
      <c r="F462"/>
      <c r="G462"/>
      <c r="H462"/>
    </row>
    <row r="463" spans="6:8">
      <c r="F463"/>
      <c r="G463"/>
      <c r="H463"/>
    </row>
    <row r="464" spans="6:8">
      <c r="F464"/>
      <c r="G464"/>
      <c r="H464"/>
    </row>
    <row r="465" spans="6:8">
      <c r="F465"/>
      <c r="G465"/>
      <c r="H465"/>
    </row>
    <row r="466" spans="6:8">
      <c r="F466"/>
      <c r="G466"/>
      <c r="H466"/>
    </row>
    <row r="467" spans="6:8">
      <c r="F467"/>
      <c r="G467"/>
      <c r="H467"/>
    </row>
    <row r="468" spans="6:8">
      <c r="F468"/>
      <c r="G468"/>
      <c r="H468"/>
    </row>
    <row r="469" spans="6:8">
      <c r="F469"/>
      <c r="G469"/>
      <c r="H469"/>
    </row>
    <row r="470" spans="6:8">
      <c r="F470"/>
      <c r="G470"/>
      <c r="H470"/>
    </row>
    <row r="471" spans="6:8">
      <c r="F471"/>
      <c r="G471"/>
      <c r="H471"/>
    </row>
    <row r="472" spans="6:8">
      <c r="F472"/>
      <c r="G472"/>
      <c r="H472"/>
    </row>
    <row r="473" spans="6:8">
      <c r="F473"/>
      <c r="G473"/>
      <c r="H473"/>
    </row>
    <row r="474" spans="6:8">
      <c r="F474"/>
      <c r="G474"/>
      <c r="H474"/>
    </row>
    <row r="475" spans="6:8">
      <c r="F475"/>
      <c r="G475"/>
      <c r="H475"/>
    </row>
    <row r="476" spans="6:8">
      <c r="F476"/>
      <c r="G476"/>
      <c r="H476"/>
    </row>
    <row r="477" spans="6:8">
      <c r="F477"/>
      <c r="G477"/>
      <c r="H477"/>
    </row>
    <row r="478" spans="6:8">
      <c r="F478"/>
      <c r="G478"/>
      <c r="H478"/>
    </row>
    <row r="479" spans="6:8">
      <c r="F479"/>
      <c r="G479"/>
      <c r="H479"/>
    </row>
    <row r="480" spans="6:8">
      <c r="F480"/>
      <c r="G480"/>
      <c r="H480"/>
    </row>
    <row r="481" spans="6:8">
      <c r="F481"/>
      <c r="G481"/>
      <c r="H481"/>
    </row>
    <row r="482" spans="6:8">
      <c r="F482"/>
      <c r="G482"/>
      <c r="H482"/>
    </row>
    <row r="483" spans="6:8">
      <c r="F483"/>
      <c r="G483"/>
      <c r="H483"/>
    </row>
    <row r="484" spans="6:8">
      <c r="F484"/>
      <c r="G484"/>
      <c r="H484"/>
    </row>
    <row r="485" spans="6:8">
      <c r="F485"/>
      <c r="G485"/>
      <c r="H485"/>
    </row>
    <row r="486" spans="6:8">
      <c r="F486"/>
      <c r="G486"/>
      <c r="H486"/>
    </row>
    <row r="487" spans="6:8">
      <c r="F487"/>
      <c r="G487"/>
      <c r="H487"/>
    </row>
    <row r="488" spans="6:8">
      <c r="F488"/>
      <c r="G488"/>
      <c r="H488"/>
    </row>
    <row r="489" spans="6:8">
      <c r="F489"/>
      <c r="G489"/>
      <c r="H489"/>
    </row>
    <row r="490" spans="6:8">
      <c r="F490"/>
      <c r="G490"/>
      <c r="H490"/>
    </row>
    <row r="491" spans="6:8">
      <c r="F491"/>
      <c r="G491"/>
      <c r="H491"/>
    </row>
    <row r="492" spans="6:8">
      <c r="F492"/>
      <c r="G492"/>
      <c r="H492"/>
    </row>
    <row r="493" spans="6:8">
      <c r="F493"/>
      <c r="G493"/>
      <c r="H493"/>
    </row>
    <row r="494" spans="6:8">
      <c r="F494"/>
      <c r="G494"/>
      <c r="H494"/>
    </row>
    <row r="495" spans="6:8">
      <c r="F495"/>
      <c r="G495"/>
      <c r="H495"/>
    </row>
    <row r="496" spans="6:8">
      <c r="F496"/>
      <c r="G496"/>
      <c r="H496"/>
    </row>
    <row r="497" spans="6:8">
      <c r="F497"/>
      <c r="G497"/>
      <c r="H497"/>
    </row>
    <row r="498" spans="6:8">
      <c r="F498"/>
      <c r="G498"/>
      <c r="H498"/>
    </row>
    <row r="499" spans="6:8">
      <c r="F499"/>
      <c r="G499"/>
      <c r="H499"/>
    </row>
    <row r="500" spans="6:8">
      <c r="F500"/>
      <c r="G500"/>
      <c r="H500"/>
    </row>
    <row r="501" spans="6:8">
      <c r="F501"/>
      <c r="G501"/>
      <c r="H501"/>
    </row>
    <row r="502" spans="6:8">
      <c r="F502"/>
      <c r="G502"/>
      <c r="H502"/>
    </row>
    <row r="503" spans="6:8">
      <c r="F503"/>
      <c r="G503"/>
      <c r="H503"/>
    </row>
    <row r="504" spans="6:8">
      <c r="F504"/>
      <c r="G504"/>
      <c r="H504"/>
    </row>
    <row r="505" spans="6:8">
      <c r="F505"/>
      <c r="G505"/>
      <c r="H505"/>
    </row>
    <row r="506" spans="6:8">
      <c r="F506"/>
      <c r="G506"/>
      <c r="H506"/>
    </row>
    <row r="507" spans="6:8">
      <c r="F507"/>
      <c r="G507"/>
      <c r="H507"/>
    </row>
    <row r="508" spans="6:8">
      <c r="F508"/>
      <c r="G508"/>
      <c r="H508"/>
    </row>
    <row r="509" spans="6:8">
      <c r="F509"/>
      <c r="G509"/>
      <c r="H509"/>
    </row>
    <row r="510" spans="6:8">
      <c r="F510"/>
      <c r="G510"/>
      <c r="H510"/>
    </row>
    <row r="511" spans="6:8">
      <c r="F511"/>
      <c r="G511"/>
      <c r="H511"/>
    </row>
    <row r="512" spans="6:8">
      <c r="F512"/>
      <c r="G512"/>
      <c r="H512"/>
    </row>
    <row r="513" spans="6:8">
      <c r="F513"/>
      <c r="G513"/>
      <c r="H513"/>
    </row>
    <row r="514" spans="6:8">
      <c r="F514"/>
      <c r="G514"/>
      <c r="H514"/>
    </row>
    <row r="515" spans="6:8">
      <c r="F515"/>
      <c r="G515"/>
      <c r="H515"/>
    </row>
    <row r="516" spans="6:8">
      <c r="F516"/>
      <c r="G516"/>
      <c r="H516"/>
    </row>
    <row r="517" spans="6:8">
      <c r="F517"/>
      <c r="G517"/>
      <c r="H517"/>
    </row>
    <row r="518" spans="6:8">
      <c r="F518"/>
      <c r="G518"/>
      <c r="H518"/>
    </row>
    <row r="519" spans="6:8">
      <c r="F519"/>
      <c r="G519"/>
      <c r="H519"/>
    </row>
    <row r="520" spans="6:8">
      <c r="F520"/>
      <c r="G520"/>
      <c r="H520"/>
    </row>
    <row r="521" spans="6:8">
      <c r="F521"/>
      <c r="G521"/>
      <c r="H521"/>
    </row>
    <row r="522" spans="6:8">
      <c r="F522"/>
      <c r="G522"/>
      <c r="H522"/>
    </row>
    <row r="523" spans="6:8">
      <c r="F523"/>
      <c r="G523"/>
      <c r="H523"/>
    </row>
    <row r="524" spans="6:8">
      <c r="F524"/>
      <c r="G524"/>
      <c r="H524"/>
    </row>
    <row r="525" spans="6:8">
      <c r="F525"/>
      <c r="G525"/>
      <c r="H525"/>
    </row>
    <row r="526" spans="6:8">
      <c r="F526"/>
      <c r="G526"/>
      <c r="H526"/>
    </row>
    <row r="527" spans="6:8">
      <c r="F527"/>
      <c r="G527"/>
      <c r="H527"/>
    </row>
    <row r="528" spans="6:8">
      <c r="F528"/>
      <c r="G528"/>
      <c r="H528"/>
    </row>
    <row r="529" spans="6:8">
      <c r="F529"/>
      <c r="G529"/>
      <c r="H529"/>
    </row>
    <row r="530" spans="6:8">
      <c r="F530"/>
      <c r="G530"/>
      <c r="H530"/>
    </row>
    <row r="531" spans="6:8">
      <c r="F531"/>
      <c r="G531"/>
      <c r="H531"/>
    </row>
    <row r="532" spans="6:8">
      <c r="F532"/>
      <c r="G532"/>
      <c r="H532"/>
    </row>
    <row r="533" spans="6:8">
      <c r="F533"/>
      <c r="G533"/>
      <c r="H533"/>
    </row>
    <row r="534" spans="6:8">
      <c r="F534"/>
      <c r="G534"/>
      <c r="H534"/>
    </row>
    <row r="535" spans="6:8">
      <c r="F535"/>
      <c r="G535"/>
      <c r="H535"/>
    </row>
    <row r="536" spans="6:8">
      <c r="F536"/>
      <c r="G536"/>
      <c r="H536"/>
    </row>
    <row r="537" spans="6:8">
      <c r="F537"/>
      <c r="G537"/>
      <c r="H537"/>
    </row>
    <row r="538" spans="6:8">
      <c r="F538"/>
      <c r="G538"/>
      <c r="H538"/>
    </row>
    <row r="539" spans="6:8">
      <c r="F539"/>
      <c r="G539"/>
      <c r="H539"/>
    </row>
    <row r="540" spans="6:8">
      <c r="F540"/>
      <c r="G540"/>
      <c r="H540"/>
    </row>
    <row r="541" spans="6:8">
      <c r="F541"/>
      <c r="G541"/>
      <c r="H541"/>
    </row>
    <row r="542" spans="6:8">
      <c r="F542"/>
      <c r="G542"/>
      <c r="H542"/>
    </row>
    <row r="543" spans="6:8">
      <c r="F543"/>
      <c r="G543"/>
      <c r="H543"/>
    </row>
    <row r="544" spans="6:8">
      <c r="F544"/>
      <c r="G544"/>
      <c r="H544"/>
    </row>
    <row r="545" spans="6:8">
      <c r="F545"/>
      <c r="G545"/>
      <c r="H545"/>
    </row>
    <row r="546" spans="6:8">
      <c r="F546"/>
      <c r="G546"/>
      <c r="H546"/>
    </row>
    <row r="547" spans="6:8">
      <c r="F547"/>
      <c r="G547"/>
      <c r="H547"/>
    </row>
    <row r="548" spans="6:8">
      <c r="F548"/>
      <c r="G548"/>
      <c r="H548"/>
    </row>
    <row r="549" spans="6:8">
      <c r="F549"/>
      <c r="G549"/>
      <c r="H549"/>
    </row>
    <row r="550" spans="6:8">
      <c r="F550"/>
      <c r="G550"/>
      <c r="H550"/>
    </row>
    <row r="551" spans="6:8">
      <c r="F551"/>
      <c r="G551"/>
      <c r="H551"/>
    </row>
    <row r="552" spans="6:8">
      <c r="F552"/>
      <c r="G552"/>
      <c r="H552"/>
    </row>
    <row r="553" spans="6:8">
      <c r="F553"/>
      <c r="G553"/>
      <c r="H553"/>
    </row>
    <row r="554" spans="6:8">
      <c r="F554"/>
      <c r="G554"/>
      <c r="H554"/>
    </row>
    <row r="555" spans="6:8">
      <c r="F555"/>
      <c r="G555"/>
      <c r="H555"/>
    </row>
    <row r="556" spans="6:8">
      <c r="F556"/>
      <c r="G556"/>
      <c r="H556"/>
    </row>
    <row r="557" spans="6:8">
      <c r="F557"/>
      <c r="G557"/>
      <c r="H557"/>
    </row>
    <row r="558" spans="6:8">
      <c r="F558"/>
      <c r="G558"/>
      <c r="H558"/>
    </row>
    <row r="559" spans="6:8">
      <c r="F559"/>
      <c r="G559"/>
      <c r="H559"/>
    </row>
    <row r="560" spans="6:8">
      <c r="F560"/>
      <c r="G560"/>
      <c r="H560"/>
    </row>
    <row r="561" spans="6:8">
      <c r="F561"/>
      <c r="G561"/>
      <c r="H561"/>
    </row>
    <row r="562" spans="6:8">
      <c r="F562"/>
      <c r="G562"/>
      <c r="H562"/>
    </row>
    <row r="563" spans="6:8">
      <c r="F563"/>
      <c r="G563"/>
      <c r="H563"/>
    </row>
    <row r="564" spans="6:8">
      <c r="F564"/>
      <c r="G564"/>
      <c r="H564"/>
    </row>
    <row r="565" spans="6:8">
      <c r="F565"/>
      <c r="G565"/>
      <c r="H565"/>
    </row>
    <row r="566" spans="6:8">
      <c r="F566"/>
      <c r="G566"/>
      <c r="H566"/>
    </row>
    <row r="567" spans="6:8">
      <c r="F567"/>
      <c r="G567"/>
      <c r="H567"/>
    </row>
    <row r="568" spans="6:8">
      <c r="F568"/>
      <c r="G568"/>
      <c r="H568"/>
    </row>
    <row r="569" spans="6:8">
      <c r="F569"/>
      <c r="G569"/>
      <c r="H569"/>
    </row>
    <row r="570" spans="6:8">
      <c r="F570"/>
      <c r="G570"/>
      <c r="H570"/>
    </row>
    <row r="571" spans="6:8">
      <c r="F571"/>
      <c r="G571"/>
      <c r="H571"/>
    </row>
    <row r="572" spans="6:8">
      <c r="F572"/>
      <c r="G572"/>
      <c r="H572"/>
    </row>
    <row r="573" spans="6:8">
      <c r="F573"/>
      <c r="G573"/>
      <c r="H573"/>
    </row>
    <row r="574" spans="6:8">
      <c r="F574"/>
      <c r="G574"/>
      <c r="H574"/>
    </row>
    <row r="575" spans="6:8">
      <c r="F575"/>
      <c r="G575"/>
      <c r="H575"/>
    </row>
    <row r="576" spans="6:8">
      <c r="F576"/>
      <c r="G576"/>
      <c r="H576"/>
    </row>
    <row r="577" spans="6:8">
      <c r="F577"/>
      <c r="G577"/>
      <c r="H577"/>
    </row>
    <row r="578" spans="6:8">
      <c r="F578"/>
      <c r="G578"/>
      <c r="H578"/>
    </row>
    <row r="579" spans="6:8">
      <c r="F579"/>
      <c r="G579"/>
      <c r="H579"/>
    </row>
    <row r="580" spans="6:8">
      <c r="F580"/>
      <c r="G580"/>
      <c r="H580"/>
    </row>
    <row r="581" spans="6:8">
      <c r="F581"/>
      <c r="G581"/>
      <c r="H581"/>
    </row>
    <row r="582" spans="6:8">
      <c r="F582"/>
      <c r="G582"/>
      <c r="H582"/>
    </row>
    <row r="583" spans="6:8">
      <c r="F583"/>
      <c r="G583"/>
      <c r="H583"/>
    </row>
    <row r="584" spans="6:8">
      <c r="F584"/>
      <c r="G584"/>
      <c r="H584"/>
    </row>
    <row r="585" spans="6:8">
      <c r="F585"/>
      <c r="G585"/>
      <c r="H585"/>
    </row>
    <row r="586" spans="6:8">
      <c r="F586"/>
      <c r="G586"/>
      <c r="H586"/>
    </row>
    <row r="587" spans="6:8">
      <c r="F587"/>
      <c r="G587"/>
      <c r="H587"/>
    </row>
    <row r="588" spans="6:8">
      <c r="F588"/>
      <c r="G588"/>
      <c r="H588"/>
    </row>
    <row r="589" spans="6:8">
      <c r="F589"/>
      <c r="G589"/>
      <c r="H589"/>
    </row>
    <row r="590" spans="6:8">
      <c r="F590"/>
      <c r="G590"/>
      <c r="H590"/>
    </row>
    <row r="591" spans="6:8">
      <c r="F591"/>
      <c r="G591"/>
      <c r="H591"/>
    </row>
    <row r="592" spans="6:8">
      <c r="F592"/>
      <c r="G592"/>
      <c r="H592"/>
    </row>
    <row r="593" spans="6:8">
      <c r="F593"/>
      <c r="G593"/>
      <c r="H593"/>
    </row>
    <row r="594" spans="6:8">
      <c r="F594"/>
      <c r="G594"/>
      <c r="H594"/>
    </row>
    <row r="595" spans="6:8">
      <c r="F595"/>
      <c r="G595"/>
      <c r="H595"/>
    </row>
    <row r="596" spans="6:8">
      <c r="F596"/>
      <c r="G596"/>
      <c r="H596"/>
    </row>
    <row r="597" spans="6:8">
      <c r="F597"/>
      <c r="G597"/>
      <c r="H597"/>
    </row>
    <row r="598" spans="6:8">
      <c r="F598"/>
      <c r="G598"/>
      <c r="H598"/>
    </row>
    <row r="599" spans="6:8">
      <c r="F599"/>
      <c r="G599"/>
      <c r="H599"/>
    </row>
    <row r="600" spans="6:8">
      <c r="F600"/>
      <c r="G600"/>
      <c r="H600"/>
    </row>
    <row r="601" spans="6:8">
      <c r="F601"/>
      <c r="G601"/>
      <c r="H601"/>
    </row>
    <row r="602" spans="6:8">
      <c r="F602"/>
      <c r="G602"/>
      <c r="H602"/>
    </row>
    <row r="603" spans="6:8">
      <c r="F603"/>
      <c r="G603"/>
      <c r="H603"/>
    </row>
    <row r="604" spans="6:8">
      <c r="F604"/>
      <c r="G604"/>
      <c r="H604"/>
    </row>
    <row r="605" spans="6:8">
      <c r="F605"/>
      <c r="G605"/>
      <c r="H605"/>
    </row>
    <row r="606" spans="6:8">
      <c r="F606"/>
      <c r="G606"/>
      <c r="H606"/>
    </row>
    <row r="607" spans="6:8">
      <c r="F607"/>
      <c r="G607"/>
      <c r="H607"/>
    </row>
    <row r="608" spans="6:8">
      <c r="F608"/>
      <c r="G608"/>
      <c r="H608"/>
    </row>
    <row r="609" spans="6:8">
      <c r="F609"/>
      <c r="G609"/>
      <c r="H609"/>
    </row>
    <row r="610" spans="6:8">
      <c r="F610"/>
      <c r="G610"/>
      <c r="H610"/>
    </row>
    <row r="611" spans="6:8">
      <c r="F611"/>
      <c r="G611"/>
      <c r="H611"/>
    </row>
    <row r="612" spans="6:8">
      <c r="F612"/>
      <c r="G612"/>
      <c r="H612"/>
    </row>
    <row r="613" spans="6:8">
      <c r="F613"/>
      <c r="G613"/>
      <c r="H613"/>
    </row>
    <row r="614" spans="6:8">
      <c r="F614"/>
      <c r="G614"/>
      <c r="H614"/>
    </row>
    <row r="615" spans="6:8">
      <c r="F615"/>
      <c r="G615"/>
      <c r="H615"/>
    </row>
    <row r="616" spans="6:8">
      <c r="F616"/>
      <c r="G616"/>
      <c r="H616"/>
    </row>
    <row r="617" spans="6:8">
      <c r="F617"/>
      <c r="G617"/>
      <c r="H617"/>
    </row>
    <row r="618" spans="6:8">
      <c r="F618"/>
      <c r="G618"/>
      <c r="H618"/>
    </row>
    <row r="619" spans="6:8">
      <c r="F619"/>
      <c r="G619"/>
      <c r="H619"/>
    </row>
    <row r="620" spans="6:8">
      <c r="F620"/>
      <c r="G620"/>
      <c r="H620"/>
    </row>
    <row r="621" spans="6:8">
      <c r="F621"/>
      <c r="G621"/>
      <c r="H621"/>
    </row>
    <row r="622" spans="6:8">
      <c r="F622"/>
      <c r="G622"/>
      <c r="H622"/>
    </row>
    <row r="623" spans="6:8">
      <c r="F623"/>
      <c r="G623"/>
      <c r="H623"/>
    </row>
    <row r="624" spans="6:8">
      <c r="F624"/>
      <c r="G624"/>
      <c r="H624"/>
    </row>
    <row r="625" spans="6:8">
      <c r="F625"/>
      <c r="G625"/>
      <c r="H625"/>
    </row>
    <row r="626" spans="6:8">
      <c r="F626"/>
      <c r="G626"/>
      <c r="H626"/>
    </row>
    <row r="627" spans="6:8">
      <c r="F627"/>
      <c r="G627"/>
      <c r="H627"/>
    </row>
    <row r="628" spans="6:8">
      <c r="F628"/>
      <c r="G628"/>
      <c r="H628"/>
    </row>
    <row r="629" spans="6:8">
      <c r="F629"/>
      <c r="G629"/>
      <c r="H629"/>
    </row>
    <row r="630" spans="6:8">
      <c r="F630"/>
      <c r="G630"/>
      <c r="H630"/>
    </row>
    <row r="631" spans="6:8">
      <c r="F631"/>
      <c r="G631"/>
      <c r="H631"/>
    </row>
    <row r="632" spans="6:8">
      <c r="F632"/>
      <c r="G632"/>
      <c r="H632"/>
    </row>
    <row r="633" spans="6:8">
      <c r="F633"/>
      <c r="G633"/>
      <c r="H633"/>
    </row>
    <row r="634" spans="6:8">
      <c r="F634"/>
      <c r="G634"/>
      <c r="H634"/>
    </row>
    <row r="635" spans="6:8">
      <c r="F635"/>
      <c r="G635"/>
      <c r="H635"/>
    </row>
    <row r="636" spans="6:8">
      <c r="F636"/>
      <c r="G636"/>
      <c r="H636"/>
    </row>
    <row r="637" spans="6:8">
      <c r="F637"/>
      <c r="G637"/>
      <c r="H637"/>
    </row>
    <row r="638" spans="6:8">
      <c r="F638"/>
      <c r="G638"/>
      <c r="H638"/>
    </row>
    <row r="639" spans="6:8">
      <c r="F639"/>
      <c r="G639"/>
      <c r="H639"/>
    </row>
    <row r="640" spans="6:8">
      <c r="F640"/>
      <c r="G640"/>
      <c r="H640"/>
    </row>
    <row r="641" spans="6:8">
      <c r="F641"/>
      <c r="G641"/>
      <c r="H641"/>
    </row>
    <row r="642" spans="6:8">
      <c r="F642"/>
      <c r="G642"/>
      <c r="H642"/>
    </row>
  </sheetData>
  <autoFilter ref="E1:K404"/>
  <sortState ref="E2:J321">
    <sortCondition ref="E2:E321"/>
    <sortCondition ref="J2:J321"/>
  </sortState>
  <phoneticPr fontId="41"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AG422"/>
  <sheetViews>
    <sheetView showGridLines="0" zoomScaleNormal="100" workbookViewId="0">
      <pane ySplit="4" topLeftCell="A5" activePane="bottomLeft" state="frozen"/>
      <selection activeCell="I1" sqref="I1"/>
      <selection pane="bottomLeft" activeCell="O11" sqref="O11"/>
    </sheetView>
  </sheetViews>
  <sheetFormatPr baseColWidth="10" defaultColWidth="11.42578125" defaultRowHeight="15"/>
  <cols>
    <col min="1" max="1" width="13.42578125" style="71" customWidth="1"/>
    <col min="2" max="2" width="27" style="71" customWidth="1"/>
    <col min="3" max="3" width="24.85546875" style="71" customWidth="1"/>
    <col min="4" max="11" width="5.42578125" style="71" customWidth="1"/>
    <col min="12" max="12" width="8" style="71" customWidth="1"/>
    <col min="13" max="13" width="9.42578125" style="71" customWidth="1"/>
    <col min="14" max="14" width="11.42578125" style="71" customWidth="1"/>
    <col min="15" max="15" width="25.42578125" style="71" customWidth="1"/>
    <col min="16" max="25" width="18.85546875" style="71" customWidth="1"/>
    <col min="26" max="26" width="16.140625" style="71" customWidth="1"/>
    <col min="27" max="27" width="16.140625" style="70" bestFit="1" customWidth="1"/>
    <col min="28" max="30" width="11.42578125" style="71" customWidth="1"/>
    <col min="31" max="33" width="18.85546875" style="71" customWidth="1"/>
    <col min="34" max="34" width="16.85546875" style="71" bestFit="1" customWidth="1"/>
    <col min="35" max="16384" width="11.42578125" style="71"/>
  </cols>
  <sheetData>
    <row r="1" spans="1:33">
      <c r="A1" s="68" t="s">
        <v>83</v>
      </c>
      <c r="B1" s="68">
        <v>2023</v>
      </c>
      <c r="C1" s="85" t="s">
        <v>384</v>
      </c>
      <c r="D1" s="78" t="s">
        <v>84</v>
      </c>
      <c r="E1" s="78" t="s">
        <v>84</v>
      </c>
      <c r="F1" s="78" t="s">
        <v>84</v>
      </c>
      <c r="G1" s="78" t="s">
        <v>84</v>
      </c>
      <c r="H1" s="78" t="s">
        <v>84</v>
      </c>
      <c r="I1" s="78" t="s">
        <v>84</v>
      </c>
      <c r="J1" s="78" t="s">
        <v>84</v>
      </c>
      <c r="K1" s="78" t="s">
        <v>84</v>
      </c>
      <c r="L1" s="78" t="s">
        <v>84</v>
      </c>
      <c r="M1" s="78" t="s">
        <v>84</v>
      </c>
      <c r="N1" s="78" t="s">
        <v>84</v>
      </c>
      <c r="O1" s="78" t="s">
        <v>84</v>
      </c>
      <c r="P1" s="78">
        <v>81834294705</v>
      </c>
      <c r="Q1" s="78">
        <v>79778294705</v>
      </c>
      <c r="R1" s="233">
        <f>Q1-R3</f>
        <v>79778294705</v>
      </c>
      <c r="S1" s="233"/>
      <c r="T1" s="78"/>
      <c r="U1" s="78" t="s">
        <v>84</v>
      </c>
      <c r="V1" s="78" t="s">
        <v>84</v>
      </c>
      <c r="W1" s="78" t="s">
        <v>84</v>
      </c>
      <c r="X1" s="78"/>
      <c r="Y1" s="78" t="s">
        <v>84</v>
      </c>
      <c r="Z1" s="78" t="s">
        <v>84</v>
      </c>
      <c r="AE1" s="78"/>
      <c r="AF1" s="78"/>
      <c r="AG1" s="78"/>
    </row>
    <row r="2" spans="1:33">
      <c r="A2" s="68" t="s">
        <v>85</v>
      </c>
      <c r="B2" s="76" t="s">
        <v>377</v>
      </c>
      <c r="C2" s="79" t="s">
        <v>84</v>
      </c>
      <c r="D2" s="78" t="s">
        <v>84</v>
      </c>
      <c r="E2" s="78" t="s">
        <v>84</v>
      </c>
      <c r="F2" s="78" t="s">
        <v>84</v>
      </c>
      <c r="G2" s="78" t="s">
        <v>84</v>
      </c>
      <c r="H2" s="78" t="s">
        <v>84</v>
      </c>
      <c r="I2" s="78" t="s">
        <v>84</v>
      </c>
      <c r="J2" s="78" t="s">
        <v>84</v>
      </c>
      <c r="K2" s="78" t="s">
        <v>84</v>
      </c>
      <c r="L2" s="78" t="s">
        <v>84</v>
      </c>
      <c r="N2" s="78" t="s">
        <v>84</v>
      </c>
      <c r="O2" s="78">
        <v>1356000000</v>
      </c>
      <c r="P2" s="78">
        <v>34250086537</v>
      </c>
      <c r="Q2" s="154">
        <v>25649576662</v>
      </c>
      <c r="R2" s="233">
        <f>P2-Q2</f>
        <v>8600509875</v>
      </c>
      <c r="S2" s="233"/>
      <c r="T2" s="78" t="s">
        <v>84</v>
      </c>
      <c r="U2" s="78" t="s">
        <v>84</v>
      </c>
      <c r="V2" s="78" t="s">
        <v>84</v>
      </c>
      <c r="W2" s="78" t="s">
        <v>84</v>
      </c>
      <c r="X2" s="78" t="s">
        <v>84</v>
      </c>
      <c r="Y2" s="78" t="s">
        <v>84</v>
      </c>
      <c r="Z2" s="78" t="s">
        <v>84</v>
      </c>
      <c r="AE2" s="78"/>
      <c r="AF2" s="78"/>
      <c r="AG2" s="78"/>
    </row>
    <row r="3" spans="1:33" ht="15.75" customHeight="1">
      <c r="A3" s="68" t="s">
        <v>87</v>
      </c>
      <c r="B3" s="76" t="s">
        <v>353</v>
      </c>
      <c r="C3" s="79" t="s">
        <v>84</v>
      </c>
      <c r="D3" s="78" t="s">
        <v>84</v>
      </c>
      <c r="E3" s="78" t="s">
        <v>84</v>
      </c>
      <c r="F3" s="78" t="s">
        <v>84</v>
      </c>
      <c r="G3" s="78" t="s">
        <v>84</v>
      </c>
      <c r="H3" s="78" t="s">
        <v>84</v>
      </c>
      <c r="I3" s="78" t="s">
        <v>84</v>
      </c>
      <c r="J3" s="78" t="s">
        <v>84</v>
      </c>
      <c r="K3" s="78" t="s">
        <v>84</v>
      </c>
      <c r="L3" s="78" t="s">
        <v>84</v>
      </c>
      <c r="M3" s="78" t="s">
        <v>84</v>
      </c>
      <c r="N3" s="78" t="s">
        <v>84</v>
      </c>
      <c r="P3" s="154">
        <f>SUBTOTAL(9,P5:P276)</f>
        <v>2815203174056</v>
      </c>
      <c r="Q3" s="154">
        <f t="shared" ref="Q3:Z3" si="0">SUBTOTAL(9,Q5:Q276)</f>
        <v>0</v>
      </c>
      <c r="R3" s="154">
        <f t="shared" si="0"/>
        <v>0</v>
      </c>
      <c r="S3" s="154">
        <f t="shared" si="0"/>
        <v>2815203174056</v>
      </c>
      <c r="T3" s="154">
        <f t="shared" si="0"/>
        <v>819305322350</v>
      </c>
      <c r="U3" s="154">
        <f t="shared" si="0"/>
        <v>1514139686120.0801</v>
      </c>
      <c r="V3" s="154">
        <f t="shared" si="0"/>
        <v>481758165585.91998</v>
      </c>
      <c r="W3" s="154">
        <f t="shared" si="0"/>
        <v>885484314164.34009</v>
      </c>
      <c r="X3" s="154">
        <f t="shared" si="0"/>
        <v>370613893785.80005</v>
      </c>
      <c r="Y3" s="154">
        <f t="shared" si="0"/>
        <v>367844466337.30005</v>
      </c>
      <c r="Z3" s="154">
        <f t="shared" si="0"/>
        <v>366426427737.30005</v>
      </c>
      <c r="AE3" s="78"/>
      <c r="AF3" s="78"/>
      <c r="AG3" s="78"/>
    </row>
    <row r="4" spans="1:33" s="140" customFormat="1" ht="24">
      <c r="A4" s="139" t="s">
        <v>88</v>
      </c>
      <c r="B4" s="139" t="s">
        <v>89</v>
      </c>
      <c r="C4" s="139" t="s">
        <v>90</v>
      </c>
      <c r="D4" s="139" t="s">
        <v>91</v>
      </c>
      <c r="E4" s="139" t="s">
        <v>92</v>
      </c>
      <c r="F4" s="139" t="s">
        <v>93</v>
      </c>
      <c r="G4" s="139" t="s">
        <v>94</v>
      </c>
      <c r="H4" s="139" t="s">
        <v>95</v>
      </c>
      <c r="I4" s="139" t="s">
        <v>96</v>
      </c>
      <c r="J4" s="139" t="s">
        <v>97</v>
      </c>
      <c r="K4" s="139" t="s">
        <v>98</v>
      </c>
      <c r="L4" s="139" t="s">
        <v>99</v>
      </c>
      <c r="M4" s="139" t="s">
        <v>100</v>
      </c>
      <c r="N4" s="139" t="s">
        <v>101</v>
      </c>
      <c r="O4" s="139" t="s">
        <v>102</v>
      </c>
      <c r="P4" s="139" t="s">
        <v>103</v>
      </c>
      <c r="Q4" s="139" t="s">
        <v>104</v>
      </c>
      <c r="R4" s="139" t="s">
        <v>105</v>
      </c>
      <c r="S4" s="139" t="s">
        <v>106</v>
      </c>
      <c r="T4" s="139" t="s">
        <v>107</v>
      </c>
      <c r="U4" s="139" t="s">
        <v>108</v>
      </c>
      <c r="V4" s="139" t="s">
        <v>109</v>
      </c>
      <c r="W4" s="139" t="s">
        <v>110</v>
      </c>
      <c r="X4" s="139" t="s">
        <v>111</v>
      </c>
      <c r="Y4" s="139" t="s">
        <v>112</v>
      </c>
      <c r="Z4" s="139" t="s">
        <v>113</v>
      </c>
    </row>
    <row r="5" spans="1:33" s="141" customFormat="1" ht="33.75">
      <c r="A5" s="65" t="s">
        <v>10</v>
      </c>
      <c r="B5" s="249" t="s">
        <v>393</v>
      </c>
      <c r="C5" s="250" t="s">
        <v>306</v>
      </c>
      <c r="D5" s="65" t="s">
        <v>11</v>
      </c>
      <c r="E5" s="65" t="s">
        <v>307</v>
      </c>
      <c r="F5" s="65" t="s">
        <v>307</v>
      </c>
      <c r="G5" s="65" t="s">
        <v>307</v>
      </c>
      <c r="H5" s="65"/>
      <c r="I5" s="65"/>
      <c r="J5" s="65"/>
      <c r="K5" s="65"/>
      <c r="L5" s="65" t="s">
        <v>116</v>
      </c>
      <c r="M5" s="65" t="s">
        <v>117</v>
      </c>
      <c r="N5" s="65" t="s">
        <v>118</v>
      </c>
      <c r="O5" s="249" t="s">
        <v>308</v>
      </c>
      <c r="P5" s="154">
        <v>33034154224</v>
      </c>
      <c r="Q5" s="154">
        <v>0</v>
      </c>
      <c r="R5" s="154">
        <v>0</v>
      </c>
      <c r="S5" s="154">
        <v>33034154224</v>
      </c>
      <c r="T5" s="154">
        <v>0</v>
      </c>
      <c r="U5" s="154">
        <v>33034154224</v>
      </c>
      <c r="V5" s="154">
        <v>0</v>
      </c>
      <c r="W5" s="154">
        <v>5761963454</v>
      </c>
      <c r="X5" s="154">
        <v>5759130889</v>
      </c>
      <c r="Y5" s="154">
        <v>5759130889</v>
      </c>
      <c r="Z5" s="154">
        <v>5759130889</v>
      </c>
    </row>
    <row r="6" spans="1:33" s="141" customFormat="1" ht="33.75">
      <c r="A6" s="65" t="s">
        <v>10</v>
      </c>
      <c r="B6" s="249" t="s">
        <v>393</v>
      </c>
      <c r="C6" s="250" t="s">
        <v>309</v>
      </c>
      <c r="D6" s="65" t="s">
        <v>11</v>
      </c>
      <c r="E6" s="65" t="s">
        <v>307</v>
      </c>
      <c r="F6" s="65" t="s">
        <v>307</v>
      </c>
      <c r="G6" s="65" t="s">
        <v>310</v>
      </c>
      <c r="H6" s="65"/>
      <c r="I6" s="65"/>
      <c r="J6" s="65"/>
      <c r="K6" s="65"/>
      <c r="L6" s="65" t="s">
        <v>116</v>
      </c>
      <c r="M6" s="65" t="s">
        <v>117</v>
      </c>
      <c r="N6" s="65" t="s">
        <v>118</v>
      </c>
      <c r="O6" s="249" t="s">
        <v>311</v>
      </c>
      <c r="P6" s="154">
        <v>11410881705</v>
      </c>
      <c r="Q6" s="154">
        <v>0</v>
      </c>
      <c r="R6" s="154">
        <v>0</v>
      </c>
      <c r="S6" s="154">
        <v>11410881705</v>
      </c>
      <c r="T6" s="154">
        <v>0</v>
      </c>
      <c r="U6" s="154">
        <v>11410881705</v>
      </c>
      <c r="V6" s="154">
        <v>0</v>
      </c>
      <c r="W6" s="154">
        <v>1691402042</v>
      </c>
      <c r="X6" s="154">
        <v>1691402042</v>
      </c>
      <c r="Y6" s="154">
        <v>1691402042</v>
      </c>
      <c r="Z6" s="154">
        <v>1691402042</v>
      </c>
    </row>
    <row r="7" spans="1:33" s="141" customFormat="1" ht="33.75">
      <c r="A7" s="65" t="s">
        <v>10</v>
      </c>
      <c r="B7" s="249" t="s">
        <v>393</v>
      </c>
      <c r="C7" s="250" t="s">
        <v>312</v>
      </c>
      <c r="D7" s="65" t="s">
        <v>11</v>
      </c>
      <c r="E7" s="65" t="s">
        <v>307</v>
      </c>
      <c r="F7" s="65" t="s">
        <v>307</v>
      </c>
      <c r="G7" s="65" t="s">
        <v>313</v>
      </c>
      <c r="H7" s="65"/>
      <c r="I7" s="65"/>
      <c r="J7" s="65"/>
      <c r="K7" s="65"/>
      <c r="L7" s="65" t="s">
        <v>116</v>
      </c>
      <c r="M7" s="65" t="s">
        <v>117</v>
      </c>
      <c r="N7" s="65" t="s">
        <v>118</v>
      </c>
      <c r="O7" s="249" t="s">
        <v>314</v>
      </c>
      <c r="P7" s="154">
        <v>3068450133</v>
      </c>
      <c r="Q7" s="154">
        <v>0</v>
      </c>
      <c r="R7" s="154">
        <v>0</v>
      </c>
      <c r="S7" s="154">
        <v>3068450133</v>
      </c>
      <c r="T7" s="154">
        <v>0</v>
      </c>
      <c r="U7" s="154">
        <v>3068450133</v>
      </c>
      <c r="V7" s="154">
        <v>0</v>
      </c>
      <c r="W7" s="154">
        <v>281056546</v>
      </c>
      <c r="X7" s="154">
        <v>280243360</v>
      </c>
      <c r="Y7" s="154">
        <v>280243360</v>
      </c>
      <c r="Z7" s="154">
        <v>280243360</v>
      </c>
    </row>
    <row r="8" spans="1:33" s="141" customFormat="1" ht="33.75">
      <c r="A8" s="65" t="s">
        <v>10</v>
      </c>
      <c r="B8" s="249" t="s">
        <v>393</v>
      </c>
      <c r="C8" s="250" t="s">
        <v>432</v>
      </c>
      <c r="D8" s="65" t="s">
        <v>11</v>
      </c>
      <c r="E8" s="65" t="s">
        <v>310</v>
      </c>
      <c r="F8" s="65"/>
      <c r="G8" s="65"/>
      <c r="H8" s="65"/>
      <c r="I8" s="65"/>
      <c r="J8" s="65"/>
      <c r="K8" s="65"/>
      <c r="L8" s="65" t="s">
        <v>116</v>
      </c>
      <c r="M8" s="65" t="s">
        <v>117</v>
      </c>
      <c r="N8" s="65" t="s">
        <v>118</v>
      </c>
      <c r="O8" s="249" t="s">
        <v>433</v>
      </c>
      <c r="P8" s="154">
        <v>6599869299</v>
      </c>
      <c r="Q8" s="154">
        <v>0</v>
      </c>
      <c r="R8" s="154">
        <v>0</v>
      </c>
      <c r="S8" s="154">
        <v>6599869299</v>
      </c>
      <c r="T8" s="154">
        <v>0</v>
      </c>
      <c r="U8" s="154">
        <v>6568913071.6400003</v>
      </c>
      <c r="V8" s="154">
        <v>30956227.359999999</v>
      </c>
      <c r="W8" s="154">
        <v>3181725726.0999999</v>
      </c>
      <c r="X8" s="154">
        <v>447455379.94</v>
      </c>
      <c r="Y8" s="154">
        <v>446119200.69</v>
      </c>
      <c r="Z8" s="154">
        <v>446119200.69</v>
      </c>
    </row>
    <row r="9" spans="1:33" s="141" customFormat="1" ht="56.25">
      <c r="A9" s="65" t="s">
        <v>10</v>
      </c>
      <c r="B9" s="249" t="s">
        <v>393</v>
      </c>
      <c r="C9" s="250" t="s">
        <v>297</v>
      </c>
      <c r="D9" s="65" t="s">
        <v>11</v>
      </c>
      <c r="E9" s="65" t="s">
        <v>313</v>
      </c>
      <c r="F9" s="65" t="s">
        <v>313</v>
      </c>
      <c r="G9" s="65" t="s">
        <v>307</v>
      </c>
      <c r="H9" s="65" t="s">
        <v>315</v>
      </c>
      <c r="I9" s="65"/>
      <c r="J9" s="65"/>
      <c r="K9" s="65"/>
      <c r="L9" s="65" t="s">
        <v>116</v>
      </c>
      <c r="M9" s="65" t="s">
        <v>127</v>
      </c>
      <c r="N9" s="65" t="s">
        <v>126</v>
      </c>
      <c r="O9" s="249" t="s">
        <v>385</v>
      </c>
      <c r="P9" s="154">
        <v>11064778861</v>
      </c>
      <c r="Q9" s="154">
        <v>0</v>
      </c>
      <c r="R9" s="154">
        <v>0</v>
      </c>
      <c r="S9" s="154">
        <v>11064778861</v>
      </c>
      <c r="T9" s="154">
        <v>0</v>
      </c>
      <c r="U9" s="154">
        <v>0</v>
      </c>
      <c r="V9" s="154">
        <v>11064778861</v>
      </c>
      <c r="W9" s="154">
        <v>0</v>
      </c>
      <c r="X9" s="154">
        <v>0</v>
      </c>
      <c r="Y9" s="154">
        <v>0</v>
      </c>
      <c r="Z9" s="154">
        <v>0</v>
      </c>
    </row>
    <row r="10" spans="1:33" s="141" customFormat="1" ht="45">
      <c r="A10" s="65" t="s">
        <v>10</v>
      </c>
      <c r="B10" s="249" t="s">
        <v>393</v>
      </c>
      <c r="C10" s="250" t="s">
        <v>316</v>
      </c>
      <c r="D10" s="65" t="s">
        <v>11</v>
      </c>
      <c r="E10" s="65" t="s">
        <v>313</v>
      </c>
      <c r="F10" s="65" t="s">
        <v>313</v>
      </c>
      <c r="G10" s="65" t="s">
        <v>307</v>
      </c>
      <c r="H10" s="65" t="s">
        <v>317</v>
      </c>
      <c r="I10" s="65"/>
      <c r="J10" s="65"/>
      <c r="K10" s="65"/>
      <c r="L10" s="65" t="s">
        <v>116</v>
      </c>
      <c r="M10" s="65" t="s">
        <v>117</v>
      </c>
      <c r="N10" s="65" t="s">
        <v>118</v>
      </c>
      <c r="O10" s="249" t="s">
        <v>124</v>
      </c>
      <c r="P10" s="154">
        <v>1056000000</v>
      </c>
      <c r="Q10" s="154">
        <v>0</v>
      </c>
      <c r="R10" s="154">
        <v>0</v>
      </c>
      <c r="S10" s="154">
        <v>1056000000</v>
      </c>
      <c r="T10" s="154">
        <v>0</v>
      </c>
      <c r="U10" s="154">
        <v>1056000000</v>
      </c>
      <c r="V10" s="154">
        <v>0</v>
      </c>
      <c r="W10" s="154">
        <v>0</v>
      </c>
      <c r="X10" s="154">
        <v>0</v>
      </c>
      <c r="Y10" s="154">
        <v>0</v>
      </c>
      <c r="Z10" s="154">
        <v>0</v>
      </c>
    </row>
    <row r="11" spans="1:33" s="141" customFormat="1" ht="33.75">
      <c r="A11" s="65" t="s">
        <v>10</v>
      </c>
      <c r="B11" s="249" t="s">
        <v>393</v>
      </c>
      <c r="C11" s="250" t="s">
        <v>300</v>
      </c>
      <c r="D11" s="65" t="s">
        <v>11</v>
      </c>
      <c r="E11" s="65" t="s">
        <v>313</v>
      </c>
      <c r="F11" s="65" t="s">
        <v>313</v>
      </c>
      <c r="G11" s="65" t="s">
        <v>318</v>
      </c>
      <c r="H11" s="65" t="s">
        <v>319</v>
      </c>
      <c r="I11" s="65"/>
      <c r="J11" s="65"/>
      <c r="K11" s="65"/>
      <c r="L11" s="65" t="s">
        <v>116</v>
      </c>
      <c r="M11" s="65" t="s">
        <v>117</v>
      </c>
      <c r="N11" s="65" t="s">
        <v>118</v>
      </c>
      <c r="O11" s="249" t="s">
        <v>320</v>
      </c>
      <c r="P11" s="154">
        <v>36287817921</v>
      </c>
      <c r="Q11" s="154">
        <v>0</v>
      </c>
      <c r="R11" s="154">
        <v>0</v>
      </c>
      <c r="S11" s="154">
        <v>36287817921</v>
      </c>
      <c r="T11" s="154">
        <v>0</v>
      </c>
      <c r="U11" s="154">
        <v>36287817921</v>
      </c>
      <c r="V11" s="154">
        <v>0</v>
      </c>
      <c r="W11" s="154">
        <v>36287817921</v>
      </c>
      <c r="X11" s="154">
        <v>10722454481</v>
      </c>
      <c r="Y11" s="154">
        <v>9983954481</v>
      </c>
      <c r="Z11" s="154">
        <v>9983954481</v>
      </c>
    </row>
    <row r="12" spans="1:33" s="141" customFormat="1" ht="33.75">
      <c r="A12" s="65" t="s">
        <v>10</v>
      </c>
      <c r="B12" s="249" t="s">
        <v>393</v>
      </c>
      <c r="C12" s="250" t="s">
        <v>321</v>
      </c>
      <c r="D12" s="65" t="s">
        <v>11</v>
      </c>
      <c r="E12" s="65" t="s">
        <v>313</v>
      </c>
      <c r="F12" s="65" t="s">
        <v>318</v>
      </c>
      <c r="G12" s="65" t="s">
        <v>310</v>
      </c>
      <c r="H12" s="65" t="s">
        <v>322</v>
      </c>
      <c r="I12" s="65"/>
      <c r="J12" s="65"/>
      <c r="K12" s="65"/>
      <c r="L12" s="65" t="s">
        <v>116</v>
      </c>
      <c r="M12" s="65" t="s">
        <v>117</v>
      </c>
      <c r="N12" s="65" t="s">
        <v>118</v>
      </c>
      <c r="O12" s="249" t="s">
        <v>323</v>
      </c>
      <c r="P12" s="154">
        <v>32000000</v>
      </c>
      <c r="Q12" s="154">
        <v>0</v>
      </c>
      <c r="R12" s="154">
        <v>0</v>
      </c>
      <c r="S12" s="154">
        <v>32000000</v>
      </c>
      <c r="T12" s="154">
        <v>0</v>
      </c>
      <c r="U12" s="154">
        <v>32000000</v>
      </c>
      <c r="V12" s="154">
        <v>0</v>
      </c>
      <c r="W12" s="154">
        <v>4601034</v>
      </c>
      <c r="X12" s="154">
        <v>4601034</v>
      </c>
      <c r="Y12" s="154">
        <v>4601034</v>
      </c>
      <c r="Z12" s="154">
        <v>4601034</v>
      </c>
    </row>
    <row r="13" spans="1:33" s="141" customFormat="1" ht="33.75">
      <c r="A13" s="65" t="s">
        <v>10</v>
      </c>
      <c r="B13" s="249" t="s">
        <v>393</v>
      </c>
      <c r="C13" s="250" t="s">
        <v>324</v>
      </c>
      <c r="D13" s="65" t="s">
        <v>11</v>
      </c>
      <c r="E13" s="65" t="s">
        <v>313</v>
      </c>
      <c r="F13" s="65" t="s">
        <v>318</v>
      </c>
      <c r="G13" s="65" t="s">
        <v>310</v>
      </c>
      <c r="H13" s="65" t="s">
        <v>325</v>
      </c>
      <c r="I13" s="65"/>
      <c r="J13" s="65"/>
      <c r="K13" s="65"/>
      <c r="L13" s="65" t="s">
        <v>116</v>
      </c>
      <c r="M13" s="65" t="s">
        <v>117</v>
      </c>
      <c r="N13" s="65" t="s">
        <v>118</v>
      </c>
      <c r="O13" s="249" t="s">
        <v>326</v>
      </c>
      <c r="P13" s="154">
        <v>548000000</v>
      </c>
      <c r="Q13" s="154">
        <v>0</v>
      </c>
      <c r="R13" s="154">
        <v>0</v>
      </c>
      <c r="S13" s="154">
        <v>548000000</v>
      </c>
      <c r="T13" s="154">
        <v>0</v>
      </c>
      <c r="U13" s="154">
        <v>548000000</v>
      </c>
      <c r="V13" s="154">
        <v>0</v>
      </c>
      <c r="W13" s="154">
        <v>57634312</v>
      </c>
      <c r="X13" s="154">
        <v>57634312</v>
      </c>
      <c r="Y13" s="154">
        <v>57634312</v>
      </c>
      <c r="Z13" s="154">
        <v>57634312</v>
      </c>
    </row>
    <row r="14" spans="1:33" s="141" customFormat="1" ht="33.75">
      <c r="A14" s="65" t="s">
        <v>10</v>
      </c>
      <c r="B14" s="249" t="s">
        <v>393</v>
      </c>
      <c r="C14" s="250" t="s">
        <v>327</v>
      </c>
      <c r="D14" s="65" t="s">
        <v>11</v>
      </c>
      <c r="E14" s="65" t="s">
        <v>313</v>
      </c>
      <c r="F14" s="65" t="s">
        <v>318</v>
      </c>
      <c r="G14" s="65" t="s">
        <v>310</v>
      </c>
      <c r="H14" s="65" t="s">
        <v>328</v>
      </c>
      <c r="I14" s="65"/>
      <c r="J14" s="65"/>
      <c r="K14" s="65"/>
      <c r="L14" s="65" t="s">
        <v>116</v>
      </c>
      <c r="M14" s="65" t="s">
        <v>117</v>
      </c>
      <c r="N14" s="65" t="s">
        <v>118</v>
      </c>
      <c r="O14" s="249" t="s">
        <v>329</v>
      </c>
      <c r="P14" s="154">
        <v>7000000000</v>
      </c>
      <c r="Q14" s="154">
        <v>0</v>
      </c>
      <c r="R14" s="154">
        <v>0</v>
      </c>
      <c r="S14" s="154">
        <v>7000000000</v>
      </c>
      <c r="T14" s="154">
        <v>0</v>
      </c>
      <c r="U14" s="154">
        <v>7000000000</v>
      </c>
      <c r="V14" s="154">
        <v>0</v>
      </c>
      <c r="W14" s="154">
        <v>2719216800</v>
      </c>
      <c r="X14" s="154">
        <v>2719216800</v>
      </c>
      <c r="Y14" s="154">
        <v>2719216800</v>
      </c>
      <c r="Z14" s="154">
        <v>2325810173</v>
      </c>
    </row>
    <row r="15" spans="1:33" s="141" customFormat="1" ht="45">
      <c r="A15" s="65" t="s">
        <v>10</v>
      </c>
      <c r="B15" s="249" t="s">
        <v>393</v>
      </c>
      <c r="C15" s="250" t="s">
        <v>330</v>
      </c>
      <c r="D15" s="65" t="s">
        <v>11</v>
      </c>
      <c r="E15" s="65" t="s">
        <v>313</v>
      </c>
      <c r="F15" s="65" t="s">
        <v>318</v>
      </c>
      <c r="G15" s="65" t="s">
        <v>310</v>
      </c>
      <c r="H15" s="65" t="s">
        <v>331</v>
      </c>
      <c r="I15" s="65"/>
      <c r="J15" s="65"/>
      <c r="K15" s="65"/>
      <c r="L15" s="65" t="s">
        <v>116</v>
      </c>
      <c r="M15" s="65" t="s">
        <v>117</v>
      </c>
      <c r="N15" s="65" t="s">
        <v>118</v>
      </c>
      <c r="O15" s="249" t="s">
        <v>352</v>
      </c>
      <c r="P15" s="154">
        <v>108500000</v>
      </c>
      <c r="Q15" s="154">
        <v>0</v>
      </c>
      <c r="R15" s="154">
        <v>0</v>
      </c>
      <c r="S15" s="154">
        <v>108500000</v>
      </c>
      <c r="T15" s="154">
        <v>0</v>
      </c>
      <c r="U15" s="154">
        <v>108500000</v>
      </c>
      <c r="V15" s="154">
        <v>0</v>
      </c>
      <c r="W15" s="154">
        <v>82999759</v>
      </c>
      <c r="X15" s="154">
        <v>82999759</v>
      </c>
      <c r="Y15" s="154">
        <v>82999759</v>
      </c>
      <c r="Z15" s="154">
        <v>82999759</v>
      </c>
    </row>
    <row r="16" spans="1:33" s="141" customFormat="1" ht="33.75">
      <c r="A16" s="65" t="s">
        <v>10</v>
      </c>
      <c r="B16" s="249" t="s">
        <v>393</v>
      </c>
      <c r="C16" s="250" t="s">
        <v>434</v>
      </c>
      <c r="D16" s="65" t="s">
        <v>11</v>
      </c>
      <c r="E16" s="65" t="s">
        <v>313</v>
      </c>
      <c r="F16" s="65" t="s">
        <v>117</v>
      </c>
      <c r="G16" s="65"/>
      <c r="H16" s="65"/>
      <c r="I16" s="65"/>
      <c r="J16" s="65"/>
      <c r="K16" s="65"/>
      <c r="L16" s="65" t="s">
        <v>116</v>
      </c>
      <c r="M16" s="65" t="s">
        <v>117</v>
      </c>
      <c r="N16" s="65" t="s">
        <v>118</v>
      </c>
      <c r="O16" s="249" t="s">
        <v>435</v>
      </c>
      <c r="P16" s="154">
        <v>636105677</v>
      </c>
      <c r="Q16" s="154">
        <v>0</v>
      </c>
      <c r="R16" s="154">
        <v>0</v>
      </c>
      <c r="S16" s="154">
        <v>636105677</v>
      </c>
      <c r="T16" s="154">
        <v>0</v>
      </c>
      <c r="U16" s="154">
        <v>636105677</v>
      </c>
      <c r="V16" s="154">
        <v>0</v>
      </c>
      <c r="W16" s="154">
        <v>0</v>
      </c>
      <c r="X16" s="154">
        <v>0</v>
      </c>
      <c r="Y16" s="154">
        <v>0</v>
      </c>
      <c r="Z16" s="154">
        <v>0</v>
      </c>
    </row>
    <row r="17" spans="1:26" s="141" customFormat="1" ht="33.75">
      <c r="A17" s="65" t="s">
        <v>10</v>
      </c>
      <c r="B17" s="249" t="s">
        <v>393</v>
      </c>
      <c r="C17" s="250" t="s">
        <v>298</v>
      </c>
      <c r="D17" s="65" t="s">
        <v>11</v>
      </c>
      <c r="E17" s="65" t="s">
        <v>332</v>
      </c>
      <c r="F17" s="65" t="s">
        <v>307</v>
      </c>
      <c r="G17" s="65"/>
      <c r="H17" s="65"/>
      <c r="I17" s="65"/>
      <c r="J17" s="65"/>
      <c r="K17" s="65"/>
      <c r="L17" s="65" t="s">
        <v>116</v>
      </c>
      <c r="M17" s="65" t="s">
        <v>117</v>
      </c>
      <c r="N17" s="65" t="s">
        <v>118</v>
      </c>
      <c r="O17" s="249" t="s">
        <v>333</v>
      </c>
      <c r="P17" s="154">
        <v>171270680</v>
      </c>
      <c r="Q17" s="154">
        <v>0</v>
      </c>
      <c r="R17" s="154">
        <v>0</v>
      </c>
      <c r="S17" s="154">
        <v>171270680</v>
      </c>
      <c r="T17" s="154">
        <v>0</v>
      </c>
      <c r="U17" s="154">
        <v>171270680</v>
      </c>
      <c r="V17" s="154">
        <v>0</v>
      </c>
      <c r="W17" s="154">
        <v>139363100</v>
      </c>
      <c r="X17" s="154">
        <v>139363100</v>
      </c>
      <c r="Y17" s="154">
        <v>139363100</v>
      </c>
      <c r="Z17" s="154">
        <v>139363100</v>
      </c>
    </row>
    <row r="18" spans="1:26" s="141" customFormat="1" ht="33.75">
      <c r="A18" s="65" t="s">
        <v>10</v>
      </c>
      <c r="B18" s="249" t="s">
        <v>393</v>
      </c>
      <c r="C18" s="250" t="s">
        <v>294</v>
      </c>
      <c r="D18" s="65" t="s">
        <v>11</v>
      </c>
      <c r="E18" s="65" t="s">
        <v>332</v>
      </c>
      <c r="F18" s="65" t="s">
        <v>318</v>
      </c>
      <c r="G18" s="65" t="s">
        <v>307</v>
      </c>
      <c r="H18" s="65"/>
      <c r="I18" s="65"/>
      <c r="J18" s="65"/>
      <c r="K18" s="65"/>
      <c r="L18" s="65" t="s">
        <v>116</v>
      </c>
      <c r="M18" s="65" t="s">
        <v>125</v>
      </c>
      <c r="N18" s="65" t="s">
        <v>126</v>
      </c>
      <c r="O18" s="249" t="s">
        <v>334</v>
      </c>
      <c r="P18" s="154">
        <v>947851246</v>
      </c>
      <c r="Q18" s="154">
        <v>0</v>
      </c>
      <c r="R18" s="154">
        <v>0</v>
      </c>
      <c r="S18" s="154">
        <v>947851246</v>
      </c>
      <c r="T18" s="154">
        <v>0</v>
      </c>
      <c r="U18" s="154">
        <v>947851246</v>
      </c>
      <c r="V18" s="154">
        <v>0</v>
      </c>
      <c r="W18" s="154">
        <v>0</v>
      </c>
      <c r="X18" s="154">
        <v>0</v>
      </c>
      <c r="Y18" s="154">
        <v>0</v>
      </c>
      <c r="Z18" s="154">
        <v>0</v>
      </c>
    </row>
    <row r="19" spans="1:26" s="141" customFormat="1" ht="33.75">
      <c r="A19" s="65" t="s">
        <v>10</v>
      </c>
      <c r="B19" s="249" t="s">
        <v>393</v>
      </c>
      <c r="C19" s="250" t="s">
        <v>436</v>
      </c>
      <c r="D19" s="65" t="s">
        <v>430</v>
      </c>
      <c r="E19" s="65" t="s">
        <v>117</v>
      </c>
      <c r="F19" s="65" t="s">
        <v>318</v>
      </c>
      <c r="G19" s="65" t="s">
        <v>307</v>
      </c>
      <c r="H19" s="65"/>
      <c r="I19" s="65"/>
      <c r="J19" s="65"/>
      <c r="K19" s="65"/>
      <c r="L19" s="65" t="s">
        <v>116</v>
      </c>
      <c r="M19" s="65" t="s">
        <v>125</v>
      </c>
      <c r="N19" s="65" t="s">
        <v>118</v>
      </c>
      <c r="O19" s="249" t="s">
        <v>437</v>
      </c>
      <c r="P19" s="154">
        <v>4117846495</v>
      </c>
      <c r="Q19" s="154">
        <v>0</v>
      </c>
      <c r="R19" s="154">
        <v>0</v>
      </c>
      <c r="S19" s="154">
        <v>4117846495</v>
      </c>
      <c r="T19" s="154">
        <v>0</v>
      </c>
      <c r="U19" s="154">
        <v>0</v>
      </c>
      <c r="V19" s="154">
        <v>4117846495</v>
      </c>
      <c r="W19" s="154">
        <v>0</v>
      </c>
      <c r="X19" s="154">
        <v>0</v>
      </c>
      <c r="Y19" s="154">
        <v>0</v>
      </c>
      <c r="Z19" s="154">
        <v>0</v>
      </c>
    </row>
    <row r="20" spans="1:26" s="141" customFormat="1" ht="90">
      <c r="A20" s="65" t="s">
        <v>10</v>
      </c>
      <c r="B20" s="249" t="s">
        <v>393</v>
      </c>
      <c r="C20" s="250" t="s">
        <v>133</v>
      </c>
      <c r="D20" s="65" t="s">
        <v>16</v>
      </c>
      <c r="E20" s="65" t="s">
        <v>131</v>
      </c>
      <c r="F20" s="65" t="s">
        <v>132</v>
      </c>
      <c r="G20" s="65" t="s">
        <v>123</v>
      </c>
      <c r="H20" s="65"/>
      <c r="I20" s="65"/>
      <c r="J20" s="65"/>
      <c r="K20" s="65"/>
      <c r="L20" s="65" t="s">
        <v>116</v>
      </c>
      <c r="M20" s="65" t="s">
        <v>125</v>
      </c>
      <c r="N20" s="65" t="s">
        <v>118</v>
      </c>
      <c r="O20" s="249" t="s">
        <v>134</v>
      </c>
      <c r="P20" s="154">
        <v>6500000000</v>
      </c>
      <c r="Q20" s="154">
        <v>0</v>
      </c>
      <c r="R20" s="154">
        <v>0</v>
      </c>
      <c r="S20" s="154">
        <v>6500000000</v>
      </c>
      <c r="T20" s="154">
        <v>0</v>
      </c>
      <c r="U20" s="154">
        <v>6424000000</v>
      </c>
      <c r="V20" s="154">
        <v>76000000</v>
      </c>
      <c r="W20" s="154">
        <v>2547300966</v>
      </c>
      <c r="X20" s="154">
        <v>222987136</v>
      </c>
      <c r="Y20" s="154">
        <v>222987136</v>
      </c>
      <c r="Z20" s="154">
        <v>222987136</v>
      </c>
    </row>
    <row r="21" spans="1:26" s="141" customFormat="1" ht="45">
      <c r="A21" s="65" t="s">
        <v>10</v>
      </c>
      <c r="B21" s="249" t="s">
        <v>393</v>
      </c>
      <c r="C21" s="250" t="s">
        <v>292</v>
      </c>
      <c r="D21" s="65" t="s">
        <v>16</v>
      </c>
      <c r="E21" s="65" t="s">
        <v>131</v>
      </c>
      <c r="F21" s="65" t="s">
        <v>132</v>
      </c>
      <c r="G21" s="65" t="s">
        <v>119</v>
      </c>
      <c r="H21" s="65"/>
      <c r="I21" s="65"/>
      <c r="J21" s="65"/>
      <c r="K21" s="65"/>
      <c r="L21" s="65" t="s">
        <v>116</v>
      </c>
      <c r="M21" s="65" t="s">
        <v>125</v>
      </c>
      <c r="N21" s="65" t="s">
        <v>118</v>
      </c>
      <c r="O21" s="249" t="s">
        <v>335</v>
      </c>
      <c r="P21" s="154">
        <v>5000000000</v>
      </c>
      <c r="Q21" s="154">
        <v>0</v>
      </c>
      <c r="R21" s="154">
        <v>0</v>
      </c>
      <c r="S21" s="154">
        <v>5000000000</v>
      </c>
      <c r="T21" s="154">
        <v>0</v>
      </c>
      <c r="U21" s="154">
        <v>5000000000</v>
      </c>
      <c r="V21" s="154">
        <v>0</v>
      </c>
      <c r="W21" s="154">
        <v>3475734337</v>
      </c>
      <c r="X21" s="154">
        <v>220497299.80000001</v>
      </c>
      <c r="Y21" s="154">
        <v>220497299.80000001</v>
      </c>
      <c r="Z21" s="154">
        <v>220497299.80000001</v>
      </c>
    </row>
    <row r="22" spans="1:26" s="141" customFormat="1" ht="67.5">
      <c r="A22" s="65" t="s">
        <v>10</v>
      </c>
      <c r="B22" s="249" t="s">
        <v>393</v>
      </c>
      <c r="C22" s="250" t="s">
        <v>295</v>
      </c>
      <c r="D22" s="65" t="s">
        <v>16</v>
      </c>
      <c r="E22" s="65" t="s">
        <v>131</v>
      </c>
      <c r="F22" s="65" t="s">
        <v>132</v>
      </c>
      <c r="G22" s="65" t="s">
        <v>120</v>
      </c>
      <c r="H22" s="65"/>
      <c r="I22" s="65"/>
      <c r="J22" s="65"/>
      <c r="K22" s="65"/>
      <c r="L22" s="65" t="s">
        <v>116</v>
      </c>
      <c r="M22" s="65" t="s">
        <v>125</v>
      </c>
      <c r="N22" s="65" t="s">
        <v>118</v>
      </c>
      <c r="O22" s="249" t="s">
        <v>336</v>
      </c>
      <c r="P22" s="154">
        <v>2800000000</v>
      </c>
      <c r="Q22" s="154">
        <v>0</v>
      </c>
      <c r="R22" s="154">
        <v>0</v>
      </c>
      <c r="S22" s="154">
        <v>2800000000</v>
      </c>
      <c r="T22" s="154">
        <v>0</v>
      </c>
      <c r="U22" s="154">
        <v>2800000000</v>
      </c>
      <c r="V22" s="154">
        <v>0</v>
      </c>
      <c r="W22" s="154">
        <v>2255673047</v>
      </c>
      <c r="X22" s="154">
        <v>102923956.64</v>
      </c>
      <c r="Y22" s="154">
        <v>102923956.64</v>
      </c>
      <c r="Z22" s="154">
        <v>102923956.64</v>
      </c>
    </row>
    <row r="23" spans="1:26" s="141" customFormat="1" ht="90">
      <c r="A23" s="65" t="s">
        <v>10</v>
      </c>
      <c r="B23" s="249" t="s">
        <v>393</v>
      </c>
      <c r="C23" s="250" t="s">
        <v>296</v>
      </c>
      <c r="D23" s="65" t="s">
        <v>16</v>
      </c>
      <c r="E23" s="65" t="s">
        <v>131</v>
      </c>
      <c r="F23" s="65" t="s">
        <v>132</v>
      </c>
      <c r="G23" s="65" t="s">
        <v>129</v>
      </c>
      <c r="H23" s="65"/>
      <c r="I23" s="65"/>
      <c r="J23" s="65"/>
      <c r="K23" s="65"/>
      <c r="L23" s="65" t="s">
        <v>116</v>
      </c>
      <c r="M23" s="65" t="s">
        <v>127</v>
      </c>
      <c r="N23" s="65" t="s">
        <v>126</v>
      </c>
      <c r="O23" s="249" t="s">
        <v>373</v>
      </c>
      <c r="P23" s="154">
        <v>43593405897</v>
      </c>
      <c r="Q23" s="154">
        <v>0</v>
      </c>
      <c r="R23" s="154">
        <v>0</v>
      </c>
      <c r="S23" s="154">
        <v>43593405897</v>
      </c>
      <c r="T23" s="154">
        <v>35321698237</v>
      </c>
      <c r="U23" s="154">
        <v>8271707660</v>
      </c>
      <c r="V23" s="154">
        <v>0</v>
      </c>
      <c r="W23" s="154">
        <v>0</v>
      </c>
      <c r="X23" s="154">
        <v>0</v>
      </c>
      <c r="Y23" s="154">
        <v>0</v>
      </c>
      <c r="Z23" s="154">
        <v>0</v>
      </c>
    </row>
    <row r="24" spans="1:26" s="141" customFormat="1" ht="45">
      <c r="A24" s="65" t="s">
        <v>10</v>
      </c>
      <c r="B24" s="249" t="s">
        <v>393</v>
      </c>
      <c r="C24" s="250" t="s">
        <v>178</v>
      </c>
      <c r="D24" s="65" t="s">
        <v>16</v>
      </c>
      <c r="E24" s="65" t="s">
        <v>136</v>
      </c>
      <c r="F24" s="65" t="s">
        <v>132</v>
      </c>
      <c r="G24" s="65" t="s">
        <v>129</v>
      </c>
      <c r="H24" s="65"/>
      <c r="I24" s="65"/>
      <c r="J24" s="65"/>
      <c r="K24" s="65"/>
      <c r="L24" s="65" t="s">
        <v>116</v>
      </c>
      <c r="M24" s="65" t="s">
        <v>125</v>
      </c>
      <c r="N24" s="65" t="s">
        <v>118</v>
      </c>
      <c r="O24" s="249" t="s">
        <v>337</v>
      </c>
      <c r="P24" s="154">
        <v>20500000000</v>
      </c>
      <c r="Q24" s="154">
        <v>0</v>
      </c>
      <c r="R24" s="154">
        <v>0</v>
      </c>
      <c r="S24" s="154">
        <v>20500000000</v>
      </c>
      <c r="T24" s="154">
        <v>0</v>
      </c>
      <c r="U24" s="154">
        <v>14064882000</v>
      </c>
      <c r="V24" s="154">
        <v>6435118000</v>
      </c>
      <c r="W24" s="154">
        <v>5363452507</v>
      </c>
      <c r="X24" s="154">
        <v>278544797</v>
      </c>
      <c r="Y24" s="154">
        <v>278544797</v>
      </c>
      <c r="Z24" s="154">
        <v>278544797</v>
      </c>
    </row>
    <row r="25" spans="1:26" s="141" customFormat="1" ht="45">
      <c r="A25" s="65" t="s">
        <v>10</v>
      </c>
      <c r="B25" s="249" t="s">
        <v>393</v>
      </c>
      <c r="C25" s="250" t="s">
        <v>178</v>
      </c>
      <c r="D25" s="65" t="s">
        <v>16</v>
      </c>
      <c r="E25" s="65" t="s">
        <v>136</v>
      </c>
      <c r="F25" s="65" t="s">
        <v>132</v>
      </c>
      <c r="G25" s="65" t="s">
        <v>129</v>
      </c>
      <c r="H25" s="65"/>
      <c r="I25" s="65"/>
      <c r="J25" s="65"/>
      <c r="K25" s="65"/>
      <c r="L25" s="65" t="s">
        <v>116</v>
      </c>
      <c r="M25" s="65" t="s">
        <v>167</v>
      </c>
      <c r="N25" s="65" t="s">
        <v>118</v>
      </c>
      <c r="O25" s="249" t="s">
        <v>337</v>
      </c>
      <c r="P25" s="154">
        <v>17500000000</v>
      </c>
      <c r="Q25" s="154">
        <v>0</v>
      </c>
      <c r="R25" s="154">
        <v>0</v>
      </c>
      <c r="S25" s="154">
        <v>17500000000</v>
      </c>
      <c r="T25" s="154">
        <v>0</v>
      </c>
      <c r="U25" s="154">
        <v>17500000000</v>
      </c>
      <c r="V25" s="154">
        <v>0</v>
      </c>
      <c r="W25" s="154">
        <v>0</v>
      </c>
      <c r="X25" s="154">
        <v>0</v>
      </c>
      <c r="Y25" s="154">
        <v>0</v>
      </c>
      <c r="Z25" s="154">
        <v>0</v>
      </c>
    </row>
    <row r="26" spans="1:26" s="141" customFormat="1" ht="67.5">
      <c r="A26" s="65" t="s">
        <v>10</v>
      </c>
      <c r="B26" s="249" t="s">
        <v>393</v>
      </c>
      <c r="C26" s="250" t="s">
        <v>198</v>
      </c>
      <c r="D26" s="65" t="s">
        <v>16</v>
      </c>
      <c r="E26" s="65" t="s">
        <v>136</v>
      </c>
      <c r="F26" s="65" t="s">
        <v>132</v>
      </c>
      <c r="G26" s="65" t="s">
        <v>144</v>
      </c>
      <c r="H26" s="65" t="s">
        <v>84</v>
      </c>
      <c r="I26" s="65" t="s">
        <v>84</v>
      </c>
      <c r="J26" s="65" t="s">
        <v>84</v>
      </c>
      <c r="K26" s="65" t="s">
        <v>84</v>
      </c>
      <c r="L26" s="65" t="s">
        <v>116</v>
      </c>
      <c r="M26" s="65" t="s">
        <v>125</v>
      </c>
      <c r="N26" s="65" t="s">
        <v>118</v>
      </c>
      <c r="O26" s="249" t="s">
        <v>527</v>
      </c>
      <c r="P26" s="154">
        <v>400000000</v>
      </c>
      <c r="Q26" s="154">
        <v>0</v>
      </c>
      <c r="R26" s="154">
        <v>0</v>
      </c>
      <c r="S26" s="154">
        <v>400000000</v>
      </c>
      <c r="T26" s="154">
        <v>0</v>
      </c>
      <c r="U26" s="154">
        <v>400000000</v>
      </c>
      <c r="V26" s="154">
        <v>0</v>
      </c>
      <c r="W26" s="154">
        <v>0</v>
      </c>
      <c r="X26" s="154">
        <v>0</v>
      </c>
      <c r="Y26" s="154">
        <v>0</v>
      </c>
      <c r="Z26" s="154">
        <v>0</v>
      </c>
    </row>
    <row r="27" spans="1:26" s="141" customFormat="1" ht="67.5">
      <c r="A27" s="65" t="s">
        <v>10</v>
      </c>
      <c r="B27" s="249" t="s">
        <v>393</v>
      </c>
      <c r="C27" s="250" t="s">
        <v>137</v>
      </c>
      <c r="D27" s="65" t="s">
        <v>16</v>
      </c>
      <c r="E27" s="65" t="s">
        <v>138</v>
      </c>
      <c r="F27" s="65" t="s">
        <v>132</v>
      </c>
      <c r="G27" s="65" t="s">
        <v>122</v>
      </c>
      <c r="H27" s="65"/>
      <c r="I27" s="65"/>
      <c r="J27" s="65"/>
      <c r="K27" s="65"/>
      <c r="L27" s="65" t="s">
        <v>116</v>
      </c>
      <c r="M27" s="65" t="s">
        <v>125</v>
      </c>
      <c r="N27" s="65" t="s">
        <v>118</v>
      </c>
      <c r="O27" s="249" t="s">
        <v>139</v>
      </c>
      <c r="P27" s="154">
        <v>7000000000</v>
      </c>
      <c r="Q27" s="154">
        <v>0</v>
      </c>
      <c r="R27" s="154">
        <v>0</v>
      </c>
      <c r="S27" s="154">
        <v>7000000000</v>
      </c>
      <c r="T27" s="154">
        <v>0</v>
      </c>
      <c r="U27" s="154">
        <v>6816382500</v>
      </c>
      <c r="V27" s="154">
        <v>183617500</v>
      </c>
      <c r="W27" s="154">
        <v>4629241884</v>
      </c>
      <c r="X27" s="154">
        <v>198007605</v>
      </c>
      <c r="Y27" s="154">
        <v>198007605</v>
      </c>
      <c r="Z27" s="154">
        <v>198007605</v>
      </c>
    </row>
    <row r="28" spans="1:26" s="141" customFormat="1" ht="112.5">
      <c r="A28" s="65" t="s">
        <v>10</v>
      </c>
      <c r="B28" s="249" t="s">
        <v>393</v>
      </c>
      <c r="C28" s="250" t="s">
        <v>141</v>
      </c>
      <c r="D28" s="65" t="s">
        <v>16</v>
      </c>
      <c r="E28" s="65" t="s">
        <v>140</v>
      </c>
      <c r="F28" s="65" t="s">
        <v>132</v>
      </c>
      <c r="G28" s="65" t="s">
        <v>129</v>
      </c>
      <c r="H28" s="65"/>
      <c r="I28" s="65"/>
      <c r="J28" s="65"/>
      <c r="K28" s="65"/>
      <c r="L28" s="65" t="s">
        <v>116</v>
      </c>
      <c r="M28" s="65" t="s">
        <v>125</v>
      </c>
      <c r="N28" s="65" t="s">
        <v>118</v>
      </c>
      <c r="O28" s="249" t="s">
        <v>142</v>
      </c>
      <c r="P28" s="154">
        <v>5000000000</v>
      </c>
      <c r="Q28" s="154">
        <v>0</v>
      </c>
      <c r="R28" s="154">
        <v>0</v>
      </c>
      <c r="S28" s="154">
        <v>5000000000</v>
      </c>
      <c r="T28" s="154">
        <v>0</v>
      </c>
      <c r="U28" s="154">
        <v>5000000000</v>
      </c>
      <c r="V28" s="154">
        <v>0</v>
      </c>
      <c r="W28" s="154">
        <v>5000000000</v>
      </c>
      <c r="X28" s="154">
        <v>1446637366.6700001</v>
      </c>
      <c r="Y28" s="154">
        <v>1446637366.6700001</v>
      </c>
      <c r="Z28" s="154">
        <v>1446637366.6700001</v>
      </c>
    </row>
    <row r="29" spans="1:26" s="141" customFormat="1" ht="112.5">
      <c r="A29" s="65" t="s">
        <v>10</v>
      </c>
      <c r="B29" s="249" t="s">
        <v>393</v>
      </c>
      <c r="C29" s="250" t="s">
        <v>143</v>
      </c>
      <c r="D29" s="65" t="s">
        <v>16</v>
      </c>
      <c r="E29" s="65" t="s">
        <v>140</v>
      </c>
      <c r="F29" s="65" t="s">
        <v>132</v>
      </c>
      <c r="G29" s="65" t="s">
        <v>144</v>
      </c>
      <c r="H29" s="65"/>
      <c r="I29" s="65"/>
      <c r="J29" s="65"/>
      <c r="K29" s="65"/>
      <c r="L29" s="65" t="s">
        <v>116</v>
      </c>
      <c r="M29" s="65" t="s">
        <v>125</v>
      </c>
      <c r="N29" s="65" t="s">
        <v>118</v>
      </c>
      <c r="O29" s="249" t="s">
        <v>145</v>
      </c>
      <c r="P29" s="154">
        <v>8200000000</v>
      </c>
      <c r="Q29" s="154">
        <v>0</v>
      </c>
      <c r="R29" s="154">
        <v>0</v>
      </c>
      <c r="S29" s="154">
        <v>8200000000</v>
      </c>
      <c r="T29" s="154">
        <v>0</v>
      </c>
      <c r="U29" s="154">
        <v>8200000000</v>
      </c>
      <c r="V29" s="154">
        <v>0</v>
      </c>
      <c r="W29" s="154">
        <v>8200000000</v>
      </c>
      <c r="X29" s="154">
        <v>1446625068</v>
      </c>
      <c r="Y29" s="154">
        <v>1446625068</v>
      </c>
      <c r="Z29" s="154">
        <v>1446625068</v>
      </c>
    </row>
    <row r="30" spans="1:26" s="141" customFormat="1" ht="78.75">
      <c r="A30" s="65" t="s">
        <v>10</v>
      </c>
      <c r="B30" s="249" t="s">
        <v>393</v>
      </c>
      <c r="C30" s="250" t="s">
        <v>146</v>
      </c>
      <c r="D30" s="65" t="s">
        <v>16</v>
      </c>
      <c r="E30" s="65" t="s">
        <v>140</v>
      </c>
      <c r="F30" s="65" t="s">
        <v>132</v>
      </c>
      <c r="G30" s="65" t="s">
        <v>128</v>
      </c>
      <c r="H30" s="65"/>
      <c r="I30" s="65"/>
      <c r="J30" s="65"/>
      <c r="K30" s="65"/>
      <c r="L30" s="65" t="s">
        <v>116</v>
      </c>
      <c r="M30" s="65" t="s">
        <v>125</v>
      </c>
      <c r="N30" s="65" t="s">
        <v>118</v>
      </c>
      <c r="O30" s="249" t="s">
        <v>147</v>
      </c>
      <c r="P30" s="154">
        <v>7400000000</v>
      </c>
      <c r="Q30" s="154">
        <v>0</v>
      </c>
      <c r="R30" s="154">
        <v>0</v>
      </c>
      <c r="S30" s="154">
        <v>7400000000</v>
      </c>
      <c r="T30" s="154">
        <v>0</v>
      </c>
      <c r="U30" s="154">
        <v>7400000000</v>
      </c>
      <c r="V30" s="154">
        <v>0</v>
      </c>
      <c r="W30" s="154">
        <v>7400000000</v>
      </c>
      <c r="X30" s="154">
        <v>1532470926</v>
      </c>
      <c r="Y30" s="154">
        <v>1532470926</v>
      </c>
      <c r="Z30" s="154">
        <v>1532470926</v>
      </c>
    </row>
    <row r="31" spans="1:26" s="141" customFormat="1" ht="123.75">
      <c r="A31" s="65" t="s">
        <v>10</v>
      </c>
      <c r="B31" s="249" t="s">
        <v>393</v>
      </c>
      <c r="C31" s="250" t="s">
        <v>305</v>
      </c>
      <c r="D31" s="65" t="s">
        <v>16</v>
      </c>
      <c r="E31" s="65" t="s">
        <v>140</v>
      </c>
      <c r="F31" s="65" t="s">
        <v>132</v>
      </c>
      <c r="G31" s="65" t="s">
        <v>117</v>
      </c>
      <c r="H31" s="65"/>
      <c r="I31" s="65"/>
      <c r="J31" s="65"/>
      <c r="K31" s="65"/>
      <c r="L31" s="65" t="s">
        <v>116</v>
      </c>
      <c r="M31" s="65" t="s">
        <v>125</v>
      </c>
      <c r="N31" s="65" t="s">
        <v>118</v>
      </c>
      <c r="O31" s="249" t="s">
        <v>338</v>
      </c>
      <c r="P31" s="154">
        <v>3840503984</v>
      </c>
      <c r="Q31" s="154">
        <v>0</v>
      </c>
      <c r="R31" s="154">
        <v>0</v>
      </c>
      <c r="S31" s="154">
        <v>3840503984</v>
      </c>
      <c r="T31" s="154">
        <v>0</v>
      </c>
      <c r="U31" s="154">
        <v>3368421883</v>
      </c>
      <c r="V31" s="154">
        <v>472082101</v>
      </c>
      <c r="W31" s="154">
        <v>2447273720</v>
      </c>
      <c r="X31" s="154">
        <v>105272352</v>
      </c>
      <c r="Y31" s="154">
        <v>105272352</v>
      </c>
      <c r="Z31" s="154">
        <v>105272352</v>
      </c>
    </row>
    <row r="32" spans="1:26" s="141" customFormat="1" ht="78.75">
      <c r="A32" s="65" t="s">
        <v>10</v>
      </c>
      <c r="B32" s="249" t="s">
        <v>393</v>
      </c>
      <c r="C32" s="250" t="s">
        <v>299</v>
      </c>
      <c r="D32" s="65" t="s">
        <v>16</v>
      </c>
      <c r="E32" s="65" t="s">
        <v>140</v>
      </c>
      <c r="F32" s="65" t="s">
        <v>132</v>
      </c>
      <c r="G32" s="65" t="s">
        <v>125</v>
      </c>
      <c r="H32" s="65"/>
      <c r="I32" s="65"/>
      <c r="J32" s="65"/>
      <c r="K32" s="65"/>
      <c r="L32" s="65" t="s">
        <v>116</v>
      </c>
      <c r="M32" s="65" t="s">
        <v>125</v>
      </c>
      <c r="N32" s="65" t="s">
        <v>118</v>
      </c>
      <c r="O32" s="249" t="s">
        <v>339</v>
      </c>
      <c r="P32" s="154">
        <v>1300000000</v>
      </c>
      <c r="Q32" s="154">
        <v>0</v>
      </c>
      <c r="R32" s="154">
        <v>0</v>
      </c>
      <c r="S32" s="154">
        <v>1300000000</v>
      </c>
      <c r="T32" s="154">
        <v>0</v>
      </c>
      <c r="U32" s="154">
        <v>1300000000</v>
      </c>
      <c r="V32" s="154">
        <v>0</v>
      </c>
      <c r="W32" s="154">
        <v>1300000000</v>
      </c>
      <c r="X32" s="154">
        <v>757529074</v>
      </c>
      <c r="Y32" s="154">
        <v>757529074</v>
      </c>
      <c r="Z32" s="154">
        <v>757529074</v>
      </c>
    </row>
    <row r="33" spans="1:26" s="141" customFormat="1" ht="56.25">
      <c r="A33" s="65" t="s">
        <v>10</v>
      </c>
      <c r="B33" s="249" t="s">
        <v>393</v>
      </c>
      <c r="C33" s="250" t="s">
        <v>528</v>
      </c>
      <c r="D33" s="65" t="s">
        <v>16</v>
      </c>
      <c r="E33" s="65" t="s">
        <v>140</v>
      </c>
      <c r="F33" s="65" t="s">
        <v>132</v>
      </c>
      <c r="G33" s="65" t="s">
        <v>165</v>
      </c>
      <c r="H33" s="65" t="s">
        <v>84</v>
      </c>
      <c r="I33" s="65" t="s">
        <v>84</v>
      </c>
      <c r="J33" s="65" t="s">
        <v>84</v>
      </c>
      <c r="K33" s="65" t="s">
        <v>84</v>
      </c>
      <c r="L33" s="65" t="s">
        <v>116</v>
      </c>
      <c r="M33" s="65" t="s">
        <v>125</v>
      </c>
      <c r="N33" s="65" t="s">
        <v>118</v>
      </c>
      <c r="O33" s="249" t="s">
        <v>529</v>
      </c>
      <c r="P33" s="154">
        <v>10606292170</v>
      </c>
      <c r="Q33" s="154">
        <v>0</v>
      </c>
      <c r="R33" s="154">
        <v>0</v>
      </c>
      <c r="S33" s="154">
        <v>10606292170</v>
      </c>
      <c r="T33" s="154">
        <v>0</v>
      </c>
      <c r="U33" s="154">
        <v>10606292170</v>
      </c>
      <c r="V33" s="154">
        <v>0</v>
      </c>
      <c r="W33" s="154">
        <v>10606292170</v>
      </c>
      <c r="X33" s="154">
        <v>1163735695.6700001</v>
      </c>
      <c r="Y33" s="154">
        <v>1163735695.6700001</v>
      </c>
      <c r="Z33" s="154">
        <v>1163735695.6700001</v>
      </c>
    </row>
    <row r="34" spans="1:26" s="141" customFormat="1" ht="56.25">
      <c r="A34" s="65" t="s">
        <v>10</v>
      </c>
      <c r="B34" s="249" t="s">
        <v>393</v>
      </c>
      <c r="C34" s="250" t="s">
        <v>286</v>
      </c>
      <c r="D34" s="65" t="s">
        <v>16</v>
      </c>
      <c r="E34" s="65" t="s">
        <v>148</v>
      </c>
      <c r="F34" s="65" t="s">
        <v>132</v>
      </c>
      <c r="G34" s="65" t="s">
        <v>122</v>
      </c>
      <c r="H34" s="65"/>
      <c r="I34" s="65"/>
      <c r="J34" s="65"/>
      <c r="K34" s="65"/>
      <c r="L34" s="65" t="s">
        <v>116</v>
      </c>
      <c r="M34" s="65" t="s">
        <v>125</v>
      </c>
      <c r="N34" s="65" t="s">
        <v>118</v>
      </c>
      <c r="O34" s="249" t="s">
        <v>340</v>
      </c>
      <c r="P34" s="154">
        <v>7600000000</v>
      </c>
      <c r="Q34" s="154">
        <v>0</v>
      </c>
      <c r="R34" s="154">
        <v>0</v>
      </c>
      <c r="S34" s="154">
        <v>7600000000</v>
      </c>
      <c r="T34" s="154">
        <v>0</v>
      </c>
      <c r="U34" s="154">
        <v>5489017972</v>
      </c>
      <c r="V34" s="154">
        <v>2110982028</v>
      </c>
      <c r="W34" s="154">
        <v>2655156606</v>
      </c>
      <c r="X34" s="154">
        <v>213175037</v>
      </c>
      <c r="Y34" s="154">
        <v>213175037</v>
      </c>
      <c r="Z34" s="154">
        <v>213175037</v>
      </c>
    </row>
    <row r="35" spans="1:26" s="141" customFormat="1" ht="56.25">
      <c r="A35" s="65" t="s">
        <v>10</v>
      </c>
      <c r="B35" s="249" t="s">
        <v>393</v>
      </c>
      <c r="C35" s="250" t="s">
        <v>149</v>
      </c>
      <c r="D35" s="65" t="s">
        <v>16</v>
      </c>
      <c r="E35" s="65" t="s">
        <v>150</v>
      </c>
      <c r="F35" s="65" t="s">
        <v>132</v>
      </c>
      <c r="G35" s="65" t="s">
        <v>123</v>
      </c>
      <c r="H35" s="65"/>
      <c r="I35" s="65"/>
      <c r="J35" s="65"/>
      <c r="K35" s="65"/>
      <c r="L35" s="65" t="s">
        <v>116</v>
      </c>
      <c r="M35" s="65" t="s">
        <v>125</v>
      </c>
      <c r="N35" s="65" t="s">
        <v>118</v>
      </c>
      <c r="O35" s="249" t="s">
        <v>151</v>
      </c>
      <c r="P35" s="154">
        <v>6000000000</v>
      </c>
      <c r="Q35" s="154">
        <v>0</v>
      </c>
      <c r="R35" s="154">
        <v>0</v>
      </c>
      <c r="S35" s="154">
        <v>6000000000</v>
      </c>
      <c r="T35" s="154">
        <v>0</v>
      </c>
      <c r="U35" s="154">
        <v>5890000000</v>
      </c>
      <c r="V35" s="154">
        <v>110000000</v>
      </c>
      <c r="W35" s="154">
        <v>3277224998</v>
      </c>
      <c r="X35" s="154">
        <v>237926665</v>
      </c>
      <c r="Y35" s="154">
        <v>237926665</v>
      </c>
      <c r="Z35" s="154">
        <v>237926665</v>
      </c>
    </row>
    <row r="36" spans="1:26" s="141" customFormat="1" ht="56.25">
      <c r="A36" s="65" t="s">
        <v>10</v>
      </c>
      <c r="B36" s="249" t="s">
        <v>393</v>
      </c>
      <c r="C36" s="250" t="s">
        <v>149</v>
      </c>
      <c r="D36" s="65" t="s">
        <v>16</v>
      </c>
      <c r="E36" s="65" t="s">
        <v>150</v>
      </c>
      <c r="F36" s="65" t="s">
        <v>132</v>
      </c>
      <c r="G36" s="65" t="s">
        <v>123</v>
      </c>
      <c r="H36" s="65"/>
      <c r="I36" s="65"/>
      <c r="J36" s="65"/>
      <c r="K36" s="65"/>
      <c r="L36" s="65" t="s">
        <v>116</v>
      </c>
      <c r="M36" s="65" t="s">
        <v>167</v>
      </c>
      <c r="N36" s="65" t="s">
        <v>118</v>
      </c>
      <c r="O36" s="249" t="s">
        <v>151</v>
      </c>
      <c r="P36" s="154">
        <v>5000000000</v>
      </c>
      <c r="Q36" s="154">
        <v>0</v>
      </c>
      <c r="R36" s="154">
        <v>0</v>
      </c>
      <c r="S36" s="154">
        <v>5000000000</v>
      </c>
      <c r="T36" s="154">
        <v>0</v>
      </c>
      <c r="U36" s="154">
        <v>2110000000</v>
      </c>
      <c r="V36" s="154">
        <v>2890000000</v>
      </c>
      <c r="W36" s="154">
        <v>536868747</v>
      </c>
      <c r="X36" s="154">
        <v>13363869</v>
      </c>
      <c r="Y36" s="154">
        <v>13363869</v>
      </c>
      <c r="Z36" s="154">
        <v>13363869</v>
      </c>
    </row>
    <row r="37" spans="1:26" s="141" customFormat="1" ht="78.75">
      <c r="A37" s="65" t="s">
        <v>10</v>
      </c>
      <c r="B37" s="249" t="s">
        <v>393</v>
      </c>
      <c r="C37" s="250" t="s">
        <v>152</v>
      </c>
      <c r="D37" s="65" t="s">
        <v>16</v>
      </c>
      <c r="E37" s="65" t="s">
        <v>153</v>
      </c>
      <c r="F37" s="65" t="s">
        <v>132</v>
      </c>
      <c r="G37" s="65" t="s">
        <v>122</v>
      </c>
      <c r="H37" s="65"/>
      <c r="I37" s="65"/>
      <c r="J37" s="65"/>
      <c r="K37" s="65"/>
      <c r="L37" s="65" t="s">
        <v>116</v>
      </c>
      <c r="M37" s="65" t="s">
        <v>125</v>
      </c>
      <c r="N37" s="65" t="s">
        <v>118</v>
      </c>
      <c r="O37" s="249" t="s">
        <v>154</v>
      </c>
      <c r="P37" s="154">
        <v>3113000000</v>
      </c>
      <c r="Q37" s="154">
        <v>0</v>
      </c>
      <c r="R37" s="154">
        <v>0</v>
      </c>
      <c r="S37" s="154">
        <v>3113000000</v>
      </c>
      <c r="T37" s="154">
        <v>0</v>
      </c>
      <c r="U37" s="154">
        <v>3022592500</v>
      </c>
      <c r="V37" s="154">
        <v>90407500</v>
      </c>
      <c r="W37" s="154">
        <v>1154596899</v>
      </c>
      <c r="X37" s="154">
        <v>70694183</v>
      </c>
      <c r="Y37" s="154">
        <v>70694183</v>
      </c>
      <c r="Z37" s="154">
        <v>70694183</v>
      </c>
    </row>
    <row r="38" spans="1:26" s="141" customFormat="1" ht="78.75">
      <c r="A38" s="65" t="s">
        <v>10</v>
      </c>
      <c r="B38" s="249" t="s">
        <v>393</v>
      </c>
      <c r="C38" s="250" t="s">
        <v>152</v>
      </c>
      <c r="D38" s="65" t="s">
        <v>16</v>
      </c>
      <c r="E38" s="65" t="s">
        <v>153</v>
      </c>
      <c r="F38" s="65" t="s">
        <v>132</v>
      </c>
      <c r="G38" s="65" t="s">
        <v>122</v>
      </c>
      <c r="H38" s="65"/>
      <c r="I38" s="65"/>
      <c r="J38" s="65"/>
      <c r="K38" s="65"/>
      <c r="L38" s="65" t="s">
        <v>116</v>
      </c>
      <c r="M38" s="65" t="s">
        <v>167</v>
      </c>
      <c r="N38" s="65" t="s">
        <v>118</v>
      </c>
      <c r="O38" s="249" t="s">
        <v>154</v>
      </c>
      <c r="P38" s="154">
        <v>3887000000</v>
      </c>
      <c r="Q38" s="154">
        <v>0</v>
      </c>
      <c r="R38" s="154">
        <v>0</v>
      </c>
      <c r="S38" s="154">
        <v>3887000000</v>
      </c>
      <c r="T38" s="154">
        <v>0</v>
      </c>
      <c r="U38" s="154">
        <v>3887000000</v>
      </c>
      <c r="V38" s="154">
        <v>0</v>
      </c>
      <c r="W38" s="154">
        <v>0</v>
      </c>
      <c r="X38" s="154">
        <v>0</v>
      </c>
      <c r="Y38" s="154">
        <v>0</v>
      </c>
      <c r="Z38" s="154">
        <v>0</v>
      </c>
    </row>
    <row r="39" spans="1:26" s="141" customFormat="1" ht="78.75">
      <c r="A39" s="65" t="s">
        <v>10</v>
      </c>
      <c r="B39" s="249" t="s">
        <v>393</v>
      </c>
      <c r="C39" s="250" t="s">
        <v>429</v>
      </c>
      <c r="D39" s="65" t="s">
        <v>16</v>
      </c>
      <c r="E39" s="65" t="s">
        <v>155</v>
      </c>
      <c r="F39" s="65" t="s">
        <v>132</v>
      </c>
      <c r="G39" s="65" t="s">
        <v>123</v>
      </c>
      <c r="H39" s="65"/>
      <c r="I39" s="65"/>
      <c r="J39" s="65"/>
      <c r="K39" s="65"/>
      <c r="L39" s="65" t="s">
        <v>116</v>
      </c>
      <c r="M39" s="65" t="s">
        <v>125</v>
      </c>
      <c r="N39" s="65" t="s">
        <v>118</v>
      </c>
      <c r="O39" s="249" t="s">
        <v>438</v>
      </c>
      <c r="P39" s="154">
        <v>19000000000</v>
      </c>
      <c r="Q39" s="154">
        <v>0</v>
      </c>
      <c r="R39" s="154">
        <v>0</v>
      </c>
      <c r="S39" s="154">
        <v>19000000000</v>
      </c>
      <c r="T39" s="154">
        <v>0</v>
      </c>
      <c r="U39" s="154">
        <v>11867614537</v>
      </c>
      <c r="V39" s="154">
        <v>7132385463</v>
      </c>
      <c r="W39" s="154">
        <v>3886600965</v>
      </c>
      <c r="X39" s="154">
        <v>166445757</v>
      </c>
      <c r="Y39" s="154">
        <v>166445757</v>
      </c>
      <c r="Z39" s="154">
        <v>166445757</v>
      </c>
    </row>
    <row r="40" spans="1:26" s="141" customFormat="1" ht="56.25">
      <c r="A40" s="65" t="s">
        <v>10</v>
      </c>
      <c r="B40" s="249" t="s">
        <v>393</v>
      </c>
      <c r="C40" s="250" t="s">
        <v>159</v>
      </c>
      <c r="D40" s="65" t="s">
        <v>16</v>
      </c>
      <c r="E40" s="65" t="s">
        <v>157</v>
      </c>
      <c r="F40" s="65" t="s">
        <v>132</v>
      </c>
      <c r="G40" s="65" t="s">
        <v>121</v>
      </c>
      <c r="H40" s="65"/>
      <c r="I40" s="65"/>
      <c r="J40" s="65"/>
      <c r="K40" s="65"/>
      <c r="L40" s="65" t="s">
        <v>116</v>
      </c>
      <c r="M40" s="65" t="s">
        <v>125</v>
      </c>
      <c r="N40" s="65" t="s">
        <v>118</v>
      </c>
      <c r="O40" s="249" t="s">
        <v>160</v>
      </c>
      <c r="P40" s="154">
        <v>2000000000</v>
      </c>
      <c r="Q40" s="154">
        <v>0</v>
      </c>
      <c r="R40" s="154">
        <v>0</v>
      </c>
      <c r="S40" s="154">
        <v>2000000000</v>
      </c>
      <c r="T40" s="154">
        <v>0</v>
      </c>
      <c r="U40" s="154">
        <v>2000000000</v>
      </c>
      <c r="V40" s="154">
        <v>0</v>
      </c>
      <c r="W40" s="154">
        <v>1906676542</v>
      </c>
      <c r="X40" s="154">
        <v>163775739</v>
      </c>
      <c r="Y40" s="154">
        <v>163775739</v>
      </c>
      <c r="Z40" s="154">
        <v>163775739</v>
      </c>
    </row>
    <row r="41" spans="1:26" s="141" customFormat="1" ht="56.25">
      <c r="A41" s="65" t="s">
        <v>10</v>
      </c>
      <c r="B41" s="249" t="s">
        <v>393</v>
      </c>
      <c r="C41" s="250" t="s">
        <v>161</v>
      </c>
      <c r="D41" s="65" t="s">
        <v>16</v>
      </c>
      <c r="E41" s="65" t="s">
        <v>157</v>
      </c>
      <c r="F41" s="65" t="s">
        <v>132</v>
      </c>
      <c r="G41" s="65" t="s">
        <v>117</v>
      </c>
      <c r="H41" s="65"/>
      <c r="I41" s="65"/>
      <c r="J41" s="65"/>
      <c r="K41" s="65"/>
      <c r="L41" s="65" t="s">
        <v>116</v>
      </c>
      <c r="M41" s="65" t="s">
        <v>125</v>
      </c>
      <c r="N41" s="65" t="s">
        <v>118</v>
      </c>
      <c r="O41" s="249" t="s">
        <v>162</v>
      </c>
      <c r="P41" s="154">
        <v>2400000000</v>
      </c>
      <c r="Q41" s="154">
        <v>0</v>
      </c>
      <c r="R41" s="154">
        <v>0</v>
      </c>
      <c r="S41" s="154">
        <v>2400000000</v>
      </c>
      <c r="T41" s="154">
        <v>0</v>
      </c>
      <c r="U41" s="154">
        <v>2400000000</v>
      </c>
      <c r="V41" s="154">
        <v>0</v>
      </c>
      <c r="W41" s="154">
        <v>2400000000</v>
      </c>
      <c r="X41" s="154">
        <v>485000000</v>
      </c>
      <c r="Y41" s="154">
        <v>485000000</v>
      </c>
      <c r="Z41" s="154">
        <v>485000000</v>
      </c>
    </row>
    <row r="42" spans="1:26" s="141" customFormat="1" ht="101.25">
      <c r="A42" s="65" t="s">
        <v>10</v>
      </c>
      <c r="B42" s="249" t="s">
        <v>393</v>
      </c>
      <c r="C42" s="250" t="s">
        <v>163</v>
      </c>
      <c r="D42" s="65" t="s">
        <v>16</v>
      </c>
      <c r="E42" s="65" t="s">
        <v>157</v>
      </c>
      <c r="F42" s="65" t="s">
        <v>132</v>
      </c>
      <c r="G42" s="65" t="s">
        <v>125</v>
      </c>
      <c r="H42" s="65"/>
      <c r="I42" s="65"/>
      <c r="J42" s="65"/>
      <c r="K42" s="65"/>
      <c r="L42" s="65" t="s">
        <v>116</v>
      </c>
      <c r="M42" s="65" t="s">
        <v>125</v>
      </c>
      <c r="N42" s="65" t="s">
        <v>118</v>
      </c>
      <c r="O42" s="249" t="s">
        <v>164</v>
      </c>
      <c r="P42" s="154">
        <v>1200000000</v>
      </c>
      <c r="Q42" s="154">
        <v>0</v>
      </c>
      <c r="R42" s="154">
        <v>0</v>
      </c>
      <c r="S42" s="154">
        <v>1200000000</v>
      </c>
      <c r="T42" s="154">
        <v>0</v>
      </c>
      <c r="U42" s="154">
        <v>1200000000</v>
      </c>
      <c r="V42" s="154">
        <v>0</v>
      </c>
      <c r="W42" s="154">
        <v>1200000000</v>
      </c>
      <c r="X42" s="154">
        <v>903374932</v>
      </c>
      <c r="Y42" s="154">
        <v>903374932</v>
      </c>
      <c r="Z42" s="154">
        <v>903374932</v>
      </c>
    </row>
    <row r="43" spans="1:26" s="141" customFormat="1" ht="135">
      <c r="A43" s="65" t="s">
        <v>10</v>
      </c>
      <c r="B43" s="249" t="s">
        <v>393</v>
      </c>
      <c r="C43" s="250" t="s">
        <v>166</v>
      </c>
      <c r="D43" s="65" t="s">
        <v>16</v>
      </c>
      <c r="E43" s="65" t="s">
        <v>157</v>
      </c>
      <c r="F43" s="65" t="s">
        <v>132</v>
      </c>
      <c r="G43" s="65" t="s">
        <v>167</v>
      </c>
      <c r="H43" s="65"/>
      <c r="I43" s="65"/>
      <c r="J43" s="65"/>
      <c r="K43" s="65"/>
      <c r="L43" s="65" t="s">
        <v>116</v>
      </c>
      <c r="M43" s="65" t="s">
        <v>125</v>
      </c>
      <c r="N43" s="65" t="s">
        <v>118</v>
      </c>
      <c r="O43" s="249" t="s">
        <v>168</v>
      </c>
      <c r="P43" s="154">
        <v>1500000000</v>
      </c>
      <c r="Q43" s="154">
        <v>0</v>
      </c>
      <c r="R43" s="154">
        <v>0</v>
      </c>
      <c r="S43" s="154">
        <v>1500000000</v>
      </c>
      <c r="T43" s="154">
        <v>0</v>
      </c>
      <c r="U43" s="154">
        <v>1500000000</v>
      </c>
      <c r="V43" s="154">
        <v>0</v>
      </c>
      <c r="W43" s="154">
        <v>1500000000</v>
      </c>
      <c r="X43" s="154">
        <v>610000000</v>
      </c>
      <c r="Y43" s="154">
        <v>610000000</v>
      </c>
      <c r="Z43" s="154">
        <v>610000000</v>
      </c>
    </row>
    <row r="44" spans="1:26" s="141" customFormat="1" ht="67.5">
      <c r="A44" s="65" t="s">
        <v>10</v>
      </c>
      <c r="B44" s="249" t="s">
        <v>393</v>
      </c>
      <c r="C44" s="250" t="s">
        <v>304</v>
      </c>
      <c r="D44" s="65" t="s">
        <v>16</v>
      </c>
      <c r="E44" s="65" t="s">
        <v>157</v>
      </c>
      <c r="F44" s="65" t="s">
        <v>132</v>
      </c>
      <c r="G44" s="65" t="s">
        <v>341</v>
      </c>
      <c r="H44" s="65"/>
      <c r="I44" s="65"/>
      <c r="J44" s="65"/>
      <c r="K44" s="65"/>
      <c r="L44" s="65" t="s">
        <v>116</v>
      </c>
      <c r="M44" s="65" t="s">
        <v>125</v>
      </c>
      <c r="N44" s="65" t="s">
        <v>118</v>
      </c>
      <c r="O44" s="249" t="s">
        <v>342</v>
      </c>
      <c r="P44" s="154">
        <v>12000000000</v>
      </c>
      <c r="Q44" s="154">
        <v>0</v>
      </c>
      <c r="R44" s="154">
        <v>0</v>
      </c>
      <c r="S44" s="154">
        <v>12000000000</v>
      </c>
      <c r="T44" s="154">
        <v>0</v>
      </c>
      <c r="U44" s="154">
        <v>11036480157</v>
      </c>
      <c r="V44" s="154">
        <v>963519843</v>
      </c>
      <c r="W44" s="154">
        <v>7020176135</v>
      </c>
      <c r="X44" s="154">
        <v>836828539.33000004</v>
      </c>
      <c r="Y44" s="154">
        <v>836828539.33000004</v>
      </c>
      <c r="Z44" s="154">
        <v>836828539.33000004</v>
      </c>
    </row>
    <row r="45" spans="1:26" s="141" customFormat="1" ht="67.5">
      <c r="A45" s="65" t="s">
        <v>10</v>
      </c>
      <c r="B45" s="249" t="s">
        <v>393</v>
      </c>
      <c r="C45" s="250" t="s">
        <v>303</v>
      </c>
      <c r="D45" s="65" t="s">
        <v>16</v>
      </c>
      <c r="E45" s="65" t="s">
        <v>157</v>
      </c>
      <c r="F45" s="65" t="s">
        <v>132</v>
      </c>
      <c r="G45" s="65" t="s">
        <v>135</v>
      </c>
      <c r="H45" s="65"/>
      <c r="I45" s="65"/>
      <c r="J45" s="65"/>
      <c r="K45" s="65"/>
      <c r="L45" s="65" t="s">
        <v>116</v>
      </c>
      <c r="M45" s="65" t="s">
        <v>125</v>
      </c>
      <c r="N45" s="65" t="s">
        <v>118</v>
      </c>
      <c r="O45" s="249" t="s">
        <v>343</v>
      </c>
      <c r="P45" s="154">
        <v>5500000000</v>
      </c>
      <c r="Q45" s="154">
        <v>0</v>
      </c>
      <c r="R45" s="154">
        <v>0</v>
      </c>
      <c r="S45" s="154">
        <v>5500000000</v>
      </c>
      <c r="T45" s="154">
        <v>0</v>
      </c>
      <c r="U45" s="154">
        <v>3658501527</v>
      </c>
      <c r="V45" s="154">
        <v>1841498473</v>
      </c>
      <c r="W45" s="154">
        <v>2352160937</v>
      </c>
      <c r="X45" s="154">
        <v>187557734</v>
      </c>
      <c r="Y45" s="154">
        <v>187557734</v>
      </c>
      <c r="Z45" s="154">
        <v>187557734</v>
      </c>
    </row>
    <row r="46" spans="1:26" s="141" customFormat="1" ht="67.5">
      <c r="A46" s="65" t="s">
        <v>10</v>
      </c>
      <c r="B46" s="249" t="s">
        <v>393</v>
      </c>
      <c r="C46" s="250" t="s">
        <v>302</v>
      </c>
      <c r="D46" s="65" t="s">
        <v>16</v>
      </c>
      <c r="E46" s="65" t="s">
        <v>157</v>
      </c>
      <c r="F46" s="65" t="s">
        <v>132</v>
      </c>
      <c r="G46" s="65" t="s">
        <v>127</v>
      </c>
      <c r="H46" s="65"/>
      <c r="I46" s="65"/>
      <c r="J46" s="65"/>
      <c r="K46" s="65"/>
      <c r="L46" s="65" t="s">
        <v>116</v>
      </c>
      <c r="M46" s="65" t="s">
        <v>125</v>
      </c>
      <c r="N46" s="65" t="s">
        <v>118</v>
      </c>
      <c r="O46" s="249" t="s">
        <v>344</v>
      </c>
      <c r="P46" s="154">
        <v>9000000000</v>
      </c>
      <c r="Q46" s="154">
        <v>0</v>
      </c>
      <c r="R46" s="154">
        <v>0</v>
      </c>
      <c r="S46" s="154">
        <v>9000000000</v>
      </c>
      <c r="T46" s="154">
        <v>0</v>
      </c>
      <c r="U46" s="154">
        <v>7840000000</v>
      </c>
      <c r="V46" s="154">
        <v>1160000000</v>
      </c>
      <c r="W46" s="154">
        <v>3138875862.8299999</v>
      </c>
      <c r="X46" s="154">
        <v>196198290</v>
      </c>
      <c r="Y46" s="154">
        <v>196198290</v>
      </c>
      <c r="Z46" s="154">
        <v>196198290</v>
      </c>
    </row>
    <row r="47" spans="1:26" s="141" customFormat="1" ht="78.75">
      <c r="A47" s="65" t="s">
        <v>10</v>
      </c>
      <c r="B47" s="249" t="s">
        <v>393</v>
      </c>
      <c r="C47" s="250" t="s">
        <v>301</v>
      </c>
      <c r="D47" s="65" t="s">
        <v>16</v>
      </c>
      <c r="E47" s="65" t="s">
        <v>157</v>
      </c>
      <c r="F47" s="65" t="s">
        <v>132</v>
      </c>
      <c r="G47" s="65" t="s">
        <v>345</v>
      </c>
      <c r="H47" s="65"/>
      <c r="I47" s="65"/>
      <c r="J47" s="65"/>
      <c r="K47" s="65"/>
      <c r="L47" s="65" t="s">
        <v>116</v>
      </c>
      <c r="M47" s="65" t="s">
        <v>125</v>
      </c>
      <c r="N47" s="65" t="s">
        <v>118</v>
      </c>
      <c r="O47" s="249" t="s">
        <v>346</v>
      </c>
      <c r="P47" s="154">
        <v>3000000000</v>
      </c>
      <c r="Q47" s="154">
        <v>0</v>
      </c>
      <c r="R47" s="154">
        <v>0</v>
      </c>
      <c r="S47" s="154">
        <v>3000000000</v>
      </c>
      <c r="T47" s="154">
        <v>0</v>
      </c>
      <c r="U47" s="154">
        <v>2950000000</v>
      </c>
      <c r="V47" s="154">
        <v>50000000</v>
      </c>
      <c r="W47" s="154">
        <v>1705086243</v>
      </c>
      <c r="X47" s="154">
        <v>547043264.59000003</v>
      </c>
      <c r="Y47" s="154">
        <v>547043264.59000003</v>
      </c>
      <c r="Z47" s="154">
        <v>547043264.59000003</v>
      </c>
    </row>
    <row r="48" spans="1:26" s="141" customFormat="1" ht="90">
      <c r="A48" s="65" t="s">
        <v>10</v>
      </c>
      <c r="B48" s="249" t="s">
        <v>393</v>
      </c>
      <c r="C48" s="250" t="s">
        <v>530</v>
      </c>
      <c r="D48" s="65" t="s">
        <v>16</v>
      </c>
      <c r="E48" s="65" t="s">
        <v>157</v>
      </c>
      <c r="F48" s="65" t="s">
        <v>132</v>
      </c>
      <c r="G48" s="65" t="s">
        <v>523</v>
      </c>
      <c r="H48" s="65" t="s">
        <v>84</v>
      </c>
      <c r="I48" s="65" t="s">
        <v>84</v>
      </c>
      <c r="J48" s="65" t="s">
        <v>84</v>
      </c>
      <c r="K48" s="65" t="s">
        <v>84</v>
      </c>
      <c r="L48" s="65" t="s">
        <v>116</v>
      </c>
      <c r="M48" s="65" t="s">
        <v>125</v>
      </c>
      <c r="N48" s="65" t="s">
        <v>118</v>
      </c>
      <c r="O48" s="249" t="s">
        <v>531</v>
      </c>
      <c r="P48" s="154">
        <v>2393707830</v>
      </c>
      <c r="Q48" s="154">
        <v>0</v>
      </c>
      <c r="R48" s="154">
        <v>0</v>
      </c>
      <c r="S48" s="154">
        <v>2393707830</v>
      </c>
      <c r="T48" s="154">
        <v>0</v>
      </c>
      <c r="U48" s="154">
        <v>2393707830</v>
      </c>
      <c r="V48" s="154">
        <v>0</v>
      </c>
      <c r="W48" s="154">
        <v>2393707830</v>
      </c>
      <c r="X48" s="154">
        <v>2086264304.3299999</v>
      </c>
      <c r="Y48" s="154">
        <v>2086264304.3299999</v>
      </c>
      <c r="Z48" s="154">
        <v>2086264304.3299999</v>
      </c>
    </row>
    <row r="49" spans="1:26" s="141" customFormat="1" ht="22.5">
      <c r="A49" s="65" t="s">
        <v>12</v>
      </c>
      <c r="B49" s="249" t="s">
        <v>169</v>
      </c>
      <c r="C49" s="250" t="s">
        <v>306</v>
      </c>
      <c r="D49" s="65" t="s">
        <v>11</v>
      </c>
      <c r="E49" s="65" t="s">
        <v>307</v>
      </c>
      <c r="F49" s="65" t="s">
        <v>307</v>
      </c>
      <c r="G49" s="65" t="s">
        <v>307</v>
      </c>
      <c r="H49" s="65"/>
      <c r="I49" s="65"/>
      <c r="J49" s="65"/>
      <c r="K49" s="65"/>
      <c r="L49" s="65" t="s">
        <v>116</v>
      </c>
      <c r="M49" s="65" t="s">
        <v>117</v>
      </c>
      <c r="N49" s="65" t="s">
        <v>118</v>
      </c>
      <c r="O49" s="249" t="s">
        <v>308</v>
      </c>
      <c r="P49" s="154">
        <v>31639000000</v>
      </c>
      <c r="Q49" s="154">
        <v>0</v>
      </c>
      <c r="R49" s="154">
        <v>0</v>
      </c>
      <c r="S49" s="154">
        <v>31639000000</v>
      </c>
      <c r="T49" s="154">
        <v>0</v>
      </c>
      <c r="U49" s="154">
        <v>31638545780</v>
      </c>
      <c r="V49" s="154">
        <v>454220</v>
      </c>
      <c r="W49" s="154">
        <v>5504487903</v>
      </c>
      <c r="X49" s="154">
        <v>5504322965</v>
      </c>
      <c r="Y49" s="154">
        <v>5504322965</v>
      </c>
      <c r="Z49" s="154">
        <v>5504322965</v>
      </c>
    </row>
    <row r="50" spans="1:26" s="141" customFormat="1" ht="22.5">
      <c r="A50" s="65" t="s">
        <v>12</v>
      </c>
      <c r="B50" s="249" t="s">
        <v>169</v>
      </c>
      <c r="C50" s="250" t="s">
        <v>309</v>
      </c>
      <c r="D50" s="65" t="s">
        <v>11</v>
      </c>
      <c r="E50" s="65" t="s">
        <v>307</v>
      </c>
      <c r="F50" s="65" t="s">
        <v>307</v>
      </c>
      <c r="G50" s="65" t="s">
        <v>310</v>
      </c>
      <c r="H50" s="65"/>
      <c r="I50" s="65"/>
      <c r="J50" s="65"/>
      <c r="K50" s="65"/>
      <c r="L50" s="65" t="s">
        <v>116</v>
      </c>
      <c r="M50" s="65" t="s">
        <v>117</v>
      </c>
      <c r="N50" s="65" t="s">
        <v>118</v>
      </c>
      <c r="O50" s="249" t="s">
        <v>311</v>
      </c>
      <c r="P50" s="154">
        <v>11802000000</v>
      </c>
      <c r="Q50" s="154">
        <v>0</v>
      </c>
      <c r="R50" s="154">
        <v>0</v>
      </c>
      <c r="S50" s="154">
        <v>11802000000</v>
      </c>
      <c r="T50" s="154">
        <v>0</v>
      </c>
      <c r="U50" s="154">
        <v>11802000000</v>
      </c>
      <c r="V50" s="154">
        <v>0</v>
      </c>
      <c r="W50" s="154">
        <v>2201436936</v>
      </c>
      <c r="X50" s="154">
        <v>2201436936</v>
      </c>
      <c r="Y50" s="154">
        <v>2201436936</v>
      </c>
      <c r="Z50" s="154">
        <v>2201436936</v>
      </c>
    </row>
    <row r="51" spans="1:26" s="141" customFormat="1" ht="33.75">
      <c r="A51" s="65" t="s">
        <v>12</v>
      </c>
      <c r="B51" s="249" t="s">
        <v>169</v>
      </c>
      <c r="C51" s="250" t="s">
        <v>312</v>
      </c>
      <c r="D51" s="65" t="s">
        <v>11</v>
      </c>
      <c r="E51" s="65" t="s">
        <v>307</v>
      </c>
      <c r="F51" s="65" t="s">
        <v>307</v>
      </c>
      <c r="G51" s="65" t="s">
        <v>313</v>
      </c>
      <c r="H51" s="65"/>
      <c r="I51" s="65"/>
      <c r="J51" s="65"/>
      <c r="K51" s="65"/>
      <c r="L51" s="65" t="s">
        <v>116</v>
      </c>
      <c r="M51" s="65" t="s">
        <v>117</v>
      </c>
      <c r="N51" s="65" t="s">
        <v>118</v>
      </c>
      <c r="O51" s="249" t="s">
        <v>314</v>
      </c>
      <c r="P51" s="154">
        <v>2219000000</v>
      </c>
      <c r="Q51" s="154">
        <v>0</v>
      </c>
      <c r="R51" s="154">
        <v>0</v>
      </c>
      <c r="S51" s="154">
        <v>2219000000</v>
      </c>
      <c r="T51" s="154">
        <v>0</v>
      </c>
      <c r="U51" s="154">
        <v>2218771295</v>
      </c>
      <c r="V51" s="154">
        <v>228705</v>
      </c>
      <c r="W51" s="154">
        <v>378565478</v>
      </c>
      <c r="X51" s="154">
        <v>378565478</v>
      </c>
      <c r="Y51" s="154">
        <v>378565478</v>
      </c>
      <c r="Z51" s="154">
        <v>378565478</v>
      </c>
    </row>
    <row r="52" spans="1:26" s="141" customFormat="1" ht="22.5">
      <c r="A52" s="65" t="s">
        <v>12</v>
      </c>
      <c r="B52" s="249" t="s">
        <v>169</v>
      </c>
      <c r="C52" s="250" t="s">
        <v>432</v>
      </c>
      <c r="D52" s="65" t="s">
        <v>11</v>
      </c>
      <c r="E52" s="65" t="s">
        <v>310</v>
      </c>
      <c r="F52" s="65"/>
      <c r="G52" s="65"/>
      <c r="H52" s="65"/>
      <c r="I52" s="65"/>
      <c r="J52" s="65"/>
      <c r="K52" s="65"/>
      <c r="L52" s="65" t="s">
        <v>116</v>
      </c>
      <c r="M52" s="65" t="s">
        <v>117</v>
      </c>
      <c r="N52" s="65" t="s">
        <v>118</v>
      </c>
      <c r="O52" s="249" t="s">
        <v>433</v>
      </c>
      <c r="P52" s="154">
        <v>9535000000</v>
      </c>
      <c r="Q52" s="154">
        <v>0</v>
      </c>
      <c r="R52" s="154">
        <v>0</v>
      </c>
      <c r="S52" s="154">
        <v>9535000000</v>
      </c>
      <c r="T52" s="154">
        <v>0</v>
      </c>
      <c r="U52" s="154">
        <v>8865216322.9200001</v>
      </c>
      <c r="V52" s="154">
        <v>669783677.08000004</v>
      </c>
      <c r="W52" s="154">
        <v>7105117112.5699997</v>
      </c>
      <c r="X52" s="154">
        <v>1294775033.3399999</v>
      </c>
      <c r="Y52" s="154">
        <v>1294775033.3399999</v>
      </c>
      <c r="Z52" s="154">
        <v>1294775033.3399999</v>
      </c>
    </row>
    <row r="53" spans="1:26" s="141" customFormat="1" ht="45">
      <c r="A53" s="65" t="s">
        <v>12</v>
      </c>
      <c r="B53" s="249" t="s">
        <v>169</v>
      </c>
      <c r="C53" s="250" t="s">
        <v>316</v>
      </c>
      <c r="D53" s="65" t="s">
        <v>11</v>
      </c>
      <c r="E53" s="65" t="s">
        <v>313</v>
      </c>
      <c r="F53" s="65" t="s">
        <v>313</v>
      </c>
      <c r="G53" s="65" t="s">
        <v>307</v>
      </c>
      <c r="H53" s="65" t="s">
        <v>317</v>
      </c>
      <c r="I53" s="65"/>
      <c r="J53" s="65"/>
      <c r="K53" s="65"/>
      <c r="L53" s="65" t="s">
        <v>116</v>
      </c>
      <c r="M53" s="65" t="s">
        <v>117</v>
      </c>
      <c r="N53" s="65" t="s">
        <v>118</v>
      </c>
      <c r="O53" s="249" t="s">
        <v>124</v>
      </c>
      <c r="P53" s="154">
        <v>942000000</v>
      </c>
      <c r="Q53" s="154">
        <v>0</v>
      </c>
      <c r="R53" s="154">
        <v>0</v>
      </c>
      <c r="S53" s="154">
        <v>942000000</v>
      </c>
      <c r="T53" s="154">
        <v>0</v>
      </c>
      <c r="U53" s="154">
        <v>0</v>
      </c>
      <c r="V53" s="154">
        <v>942000000</v>
      </c>
      <c r="W53" s="154">
        <v>0</v>
      </c>
      <c r="X53" s="154">
        <v>0</v>
      </c>
      <c r="Y53" s="154">
        <v>0</v>
      </c>
      <c r="Z53" s="154">
        <v>0</v>
      </c>
    </row>
    <row r="54" spans="1:26" s="141" customFormat="1" ht="45">
      <c r="A54" s="65" t="s">
        <v>12</v>
      </c>
      <c r="B54" s="249" t="s">
        <v>169</v>
      </c>
      <c r="C54" s="250" t="s">
        <v>330</v>
      </c>
      <c r="D54" s="65" t="s">
        <v>11</v>
      </c>
      <c r="E54" s="65" t="s">
        <v>313</v>
      </c>
      <c r="F54" s="65" t="s">
        <v>318</v>
      </c>
      <c r="G54" s="65" t="s">
        <v>310</v>
      </c>
      <c r="H54" s="65" t="s">
        <v>331</v>
      </c>
      <c r="I54" s="65"/>
      <c r="J54" s="65"/>
      <c r="K54" s="65"/>
      <c r="L54" s="65" t="s">
        <v>116</v>
      </c>
      <c r="M54" s="65" t="s">
        <v>117</v>
      </c>
      <c r="N54" s="65" t="s">
        <v>118</v>
      </c>
      <c r="O54" s="249" t="s">
        <v>352</v>
      </c>
      <c r="P54" s="154">
        <v>103000000</v>
      </c>
      <c r="Q54" s="154">
        <v>0</v>
      </c>
      <c r="R54" s="154">
        <v>0</v>
      </c>
      <c r="S54" s="154">
        <v>103000000</v>
      </c>
      <c r="T54" s="154">
        <v>0</v>
      </c>
      <c r="U54" s="154">
        <v>90173915</v>
      </c>
      <c r="V54" s="154">
        <v>12826085</v>
      </c>
      <c r="W54" s="154">
        <v>29857963</v>
      </c>
      <c r="X54" s="154">
        <v>27056789</v>
      </c>
      <c r="Y54" s="154">
        <v>27056789</v>
      </c>
      <c r="Z54" s="154">
        <v>27056789</v>
      </c>
    </row>
    <row r="55" spans="1:26" s="141" customFormat="1" ht="22.5">
      <c r="A55" s="65" t="s">
        <v>12</v>
      </c>
      <c r="B55" s="249" t="s">
        <v>169</v>
      </c>
      <c r="C55" s="250" t="s">
        <v>434</v>
      </c>
      <c r="D55" s="65" t="s">
        <v>11</v>
      </c>
      <c r="E55" s="65" t="s">
        <v>313</v>
      </c>
      <c r="F55" s="65" t="s">
        <v>117</v>
      </c>
      <c r="G55" s="65"/>
      <c r="H55" s="65"/>
      <c r="I55" s="65"/>
      <c r="J55" s="65"/>
      <c r="K55" s="65"/>
      <c r="L55" s="65" t="s">
        <v>116</v>
      </c>
      <c r="M55" s="65" t="s">
        <v>117</v>
      </c>
      <c r="N55" s="65" t="s">
        <v>118</v>
      </c>
      <c r="O55" s="249" t="s">
        <v>435</v>
      </c>
      <c r="P55" s="154">
        <v>101000000</v>
      </c>
      <c r="Q55" s="154">
        <v>0</v>
      </c>
      <c r="R55" s="154">
        <v>0</v>
      </c>
      <c r="S55" s="154">
        <v>101000000</v>
      </c>
      <c r="T55" s="154">
        <v>0</v>
      </c>
      <c r="U55" s="154">
        <v>0</v>
      </c>
      <c r="V55" s="154">
        <v>101000000</v>
      </c>
      <c r="W55" s="154">
        <v>0</v>
      </c>
      <c r="X55" s="154">
        <v>0</v>
      </c>
      <c r="Y55" s="154">
        <v>0</v>
      </c>
      <c r="Z55" s="154">
        <v>0</v>
      </c>
    </row>
    <row r="56" spans="1:26" s="141" customFormat="1" ht="22.5">
      <c r="A56" s="65" t="s">
        <v>12</v>
      </c>
      <c r="B56" s="249" t="s">
        <v>169</v>
      </c>
      <c r="C56" s="250" t="s">
        <v>298</v>
      </c>
      <c r="D56" s="65" t="s">
        <v>11</v>
      </c>
      <c r="E56" s="65" t="s">
        <v>332</v>
      </c>
      <c r="F56" s="65" t="s">
        <v>307</v>
      </c>
      <c r="G56" s="65"/>
      <c r="H56" s="65"/>
      <c r="I56" s="65"/>
      <c r="J56" s="65"/>
      <c r="K56" s="65"/>
      <c r="L56" s="65" t="s">
        <v>116</v>
      </c>
      <c r="M56" s="65" t="s">
        <v>117</v>
      </c>
      <c r="N56" s="65" t="s">
        <v>118</v>
      </c>
      <c r="O56" s="249" t="s">
        <v>333</v>
      </c>
      <c r="P56" s="154">
        <v>173000000</v>
      </c>
      <c r="Q56" s="154">
        <v>0</v>
      </c>
      <c r="R56" s="154">
        <v>0</v>
      </c>
      <c r="S56" s="154">
        <v>173000000</v>
      </c>
      <c r="T56" s="154">
        <v>0</v>
      </c>
      <c r="U56" s="154">
        <v>97962318</v>
      </c>
      <c r="V56" s="154">
        <v>75037682</v>
      </c>
      <c r="W56" s="154">
        <v>97962318</v>
      </c>
      <c r="X56" s="154">
        <v>83222318</v>
      </c>
      <c r="Y56" s="154">
        <v>83222318</v>
      </c>
      <c r="Z56" s="154">
        <v>83222318</v>
      </c>
    </row>
    <row r="57" spans="1:26" s="141" customFormat="1" ht="22.5">
      <c r="A57" s="65" t="s">
        <v>12</v>
      </c>
      <c r="B57" s="249" t="s">
        <v>169</v>
      </c>
      <c r="C57" s="250" t="s">
        <v>294</v>
      </c>
      <c r="D57" s="65" t="s">
        <v>11</v>
      </c>
      <c r="E57" s="65" t="s">
        <v>332</v>
      </c>
      <c r="F57" s="65" t="s">
        <v>318</v>
      </c>
      <c r="G57" s="65" t="s">
        <v>307</v>
      </c>
      <c r="H57" s="65"/>
      <c r="I57" s="65"/>
      <c r="J57" s="65"/>
      <c r="K57" s="65"/>
      <c r="L57" s="65" t="s">
        <v>116</v>
      </c>
      <c r="M57" s="65" t="s">
        <v>125</v>
      </c>
      <c r="N57" s="65" t="s">
        <v>126</v>
      </c>
      <c r="O57" s="249" t="s">
        <v>334</v>
      </c>
      <c r="P57" s="154">
        <v>375000000</v>
      </c>
      <c r="Q57" s="154">
        <v>0</v>
      </c>
      <c r="R57" s="154">
        <v>0</v>
      </c>
      <c r="S57" s="154">
        <v>375000000</v>
      </c>
      <c r="T57" s="154">
        <v>0</v>
      </c>
      <c r="U57" s="154">
        <v>0</v>
      </c>
      <c r="V57" s="154">
        <v>375000000</v>
      </c>
      <c r="W57" s="154">
        <v>0</v>
      </c>
      <c r="X57" s="154">
        <v>0</v>
      </c>
      <c r="Y57" s="154">
        <v>0</v>
      </c>
      <c r="Z57" s="154">
        <v>0</v>
      </c>
    </row>
    <row r="58" spans="1:26" s="141" customFormat="1" ht="22.5">
      <c r="A58" s="65" t="s">
        <v>12</v>
      </c>
      <c r="B58" s="249" t="s">
        <v>169</v>
      </c>
      <c r="C58" s="250" t="s">
        <v>436</v>
      </c>
      <c r="D58" s="65" t="s">
        <v>430</v>
      </c>
      <c r="E58" s="65" t="s">
        <v>117</v>
      </c>
      <c r="F58" s="65" t="s">
        <v>318</v>
      </c>
      <c r="G58" s="65" t="s">
        <v>307</v>
      </c>
      <c r="H58" s="65"/>
      <c r="I58" s="65"/>
      <c r="J58" s="65"/>
      <c r="K58" s="65"/>
      <c r="L58" s="65" t="s">
        <v>116</v>
      </c>
      <c r="M58" s="65" t="s">
        <v>125</v>
      </c>
      <c r="N58" s="65" t="s">
        <v>118</v>
      </c>
      <c r="O58" s="249" t="s">
        <v>437</v>
      </c>
      <c r="P58" s="154">
        <v>109114303</v>
      </c>
      <c r="Q58" s="154">
        <v>0</v>
      </c>
      <c r="R58" s="154">
        <v>0</v>
      </c>
      <c r="S58" s="154">
        <v>109114303</v>
      </c>
      <c r="T58" s="154">
        <v>0</v>
      </c>
      <c r="U58" s="154">
        <v>0</v>
      </c>
      <c r="V58" s="154">
        <v>109114303</v>
      </c>
      <c r="W58" s="154">
        <v>0</v>
      </c>
      <c r="X58" s="154">
        <v>0</v>
      </c>
      <c r="Y58" s="154">
        <v>0</v>
      </c>
      <c r="Z58" s="154">
        <v>0</v>
      </c>
    </row>
    <row r="59" spans="1:26" s="141" customFormat="1" ht="78.75">
      <c r="A59" s="65" t="s">
        <v>12</v>
      </c>
      <c r="B59" s="249" t="s">
        <v>169</v>
      </c>
      <c r="C59" s="250" t="s">
        <v>170</v>
      </c>
      <c r="D59" s="65" t="s">
        <v>16</v>
      </c>
      <c r="E59" s="65" t="s">
        <v>136</v>
      </c>
      <c r="F59" s="65" t="s">
        <v>132</v>
      </c>
      <c r="G59" s="65" t="s">
        <v>119</v>
      </c>
      <c r="H59" s="65"/>
      <c r="I59" s="65"/>
      <c r="J59" s="65"/>
      <c r="K59" s="65"/>
      <c r="L59" s="65" t="s">
        <v>116</v>
      </c>
      <c r="M59" s="65" t="s">
        <v>125</v>
      </c>
      <c r="N59" s="65" t="s">
        <v>118</v>
      </c>
      <c r="O59" s="249" t="s">
        <v>171</v>
      </c>
      <c r="P59" s="154">
        <v>67010744264</v>
      </c>
      <c r="Q59" s="154">
        <v>0</v>
      </c>
      <c r="R59" s="154">
        <v>0</v>
      </c>
      <c r="S59" s="154">
        <v>67010744264</v>
      </c>
      <c r="T59" s="154">
        <v>0</v>
      </c>
      <c r="U59" s="154">
        <v>37162209139</v>
      </c>
      <c r="V59" s="154">
        <v>29848535125</v>
      </c>
      <c r="W59" s="154">
        <v>28464934769</v>
      </c>
      <c r="X59" s="154">
        <v>953623546</v>
      </c>
      <c r="Y59" s="154">
        <v>953623546</v>
      </c>
      <c r="Z59" s="154">
        <v>953623546</v>
      </c>
    </row>
    <row r="60" spans="1:26" s="141" customFormat="1" ht="56.25">
      <c r="A60" s="65" t="s">
        <v>12</v>
      </c>
      <c r="B60" s="249" t="s">
        <v>169</v>
      </c>
      <c r="C60" s="250" t="s">
        <v>158</v>
      </c>
      <c r="D60" s="65" t="s">
        <v>16</v>
      </c>
      <c r="E60" s="65" t="s">
        <v>157</v>
      </c>
      <c r="F60" s="65" t="s">
        <v>132</v>
      </c>
      <c r="G60" s="65" t="s">
        <v>122</v>
      </c>
      <c r="H60" s="65"/>
      <c r="I60" s="65"/>
      <c r="J60" s="65"/>
      <c r="K60" s="65"/>
      <c r="L60" s="65" t="s">
        <v>116</v>
      </c>
      <c r="M60" s="65" t="s">
        <v>125</v>
      </c>
      <c r="N60" s="65" t="s">
        <v>118</v>
      </c>
      <c r="O60" s="249" t="s">
        <v>439</v>
      </c>
      <c r="P60" s="154">
        <v>23000000000</v>
      </c>
      <c r="Q60" s="154">
        <v>0</v>
      </c>
      <c r="R60" s="154">
        <v>0</v>
      </c>
      <c r="S60" s="154">
        <v>23000000000</v>
      </c>
      <c r="T60" s="154">
        <v>0</v>
      </c>
      <c r="U60" s="154">
        <v>14040272344</v>
      </c>
      <c r="V60" s="154">
        <v>8959727656</v>
      </c>
      <c r="W60" s="154">
        <v>10133949876.950001</v>
      </c>
      <c r="X60" s="154">
        <v>700619772</v>
      </c>
      <c r="Y60" s="154">
        <v>700619772</v>
      </c>
      <c r="Z60" s="154">
        <v>700619772</v>
      </c>
    </row>
    <row r="61" spans="1:26" s="141" customFormat="1" ht="22.5">
      <c r="A61" s="65" t="s">
        <v>13</v>
      </c>
      <c r="B61" s="249" t="s">
        <v>172</v>
      </c>
      <c r="C61" s="250" t="s">
        <v>306</v>
      </c>
      <c r="D61" s="65" t="s">
        <v>11</v>
      </c>
      <c r="E61" s="65" t="s">
        <v>307</v>
      </c>
      <c r="F61" s="65" t="s">
        <v>307</v>
      </c>
      <c r="G61" s="65" t="s">
        <v>307</v>
      </c>
      <c r="H61" s="65"/>
      <c r="I61" s="65"/>
      <c r="J61" s="65"/>
      <c r="K61" s="65"/>
      <c r="L61" s="65" t="s">
        <v>116</v>
      </c>
      <c r="M61" s="65" t="s">
        <v>125</v>
      </c>
      <c r="N61" s="65" t="s">
        <v>126</v>
      </c>
      <c r="O61" s="249" t="s">
        <v>308</v>
      </c>
      <c r="P61" s="154">
        <v>37945300000</v>
      </c>
      <c r="Q61" s="154">
        <v>0</v>
      </c>
      <c r="R61" s="154">
        <v>0</v>
      </c>
      <c r="S61" s="154">
        <v>37945300000</v>
      </c>
      <c r="T61" s="154">
        <v>0</v>
      </c>
      <c r="U61" s="154">
        <v>37945300000</v>
      </c>
      <c r="V61" s="154">
        <v>0</v>
      </c>
      <c r="W61" s="154">
        <v>8201761099</v>
      </c>
      <c r="X61" s="154">
        <v>8201761099</v>
      </c>
      <c r="Y61" s="154">
        <v>8182552813</v>
      </c>
      <c r="Z61" s="154">
        <v>8182552813</v>
      </c>
    </row>
    <row r="62" spans="1:26" s="141" customFormat="1" ht="22.5">
      <c r="A62" s="65" t="s">
        <v>13</v>
      </c>
      <c r="B62" s="249" t="s">
        <v>172</v>
      </c>
      <c r="C62" s="250" t="s">
        <v>309</v>
      </c>
      <c r="D62" s="65" t="s">
        <v>11</v>
      </c>
      <c r="E62" s="65" t="s">
        <v>307</v>
      </c>
      <c r="F62" s="65" t="s">
        <v>307</v>
      </c>
      <c r="G62" s="65" t="s">
        <v>310</v>
      </c>
      <c r="H62" s="65"/>
      <c r="I62" s="65"/>
      <c r="J62" s="65"/>
      <c r="K62" s="65"/>
      <c r="L62" s="65" t="s">
        <v>116</v>
      </c>
      <c r="M62" s="65" t="s">
        <v>125</v>
      </c>
      <c r="N62" s="65" t="s">
        <v>126</v>
      </c>
      <c r="O62" s="249" t="s">
        <v>311</v>
      </c>
      <c r="P62" s="154">
        <v>13653600000</v>
      </c>
      <c r="Q62" s="154">
        <v>0</v>
      </c>
      <c r="R62" s="154">
        <v>0</v>
      </c>
      <c r="S62" s="154">
        <v>13653600000</v>
      </c>
      <c r="T62" s="154">
        <v>0</v>
      </c>
      <c r="U62" s="154">
        <v>13653600000</v>
      </c>
      <c r="V62" s="154">
        <v>0</v>
      </c>
      <c r="W62" s="154">
        <v>3013924299</v>
      </c>
      <c r="X62" s="154">
        <v>3013924299</v>
      </c>
      <c r="Y62" s="154">
        <v>3013924299</v>
      </c>
      <c r="Z62" s="154">
        <v>3013924299</v>
      </c>
    </row>
    <row r="63" spans="1:26" s="141" customFormat="1" ht="33.75">
      <c r="A63" s="65" t="s">
        <v>13</v>
      </c>
      <c r="B63" s="249" t="s">
        <v>172</v>
      </c>
      <c r="C63" s="250" t="s">
        <v>312</v>
      </c>
      <c r="D63" s="65" t="s">
        <v>11</v>
      </c>
      <c r="E63" s="65" t="s">
        <v>307</v>
      </c>
      <c r="F63" s="65" t="s">
        <v>307</v>
      </c>
      <c r="G63" s="65" t="s">
        <v>313</v>
      </c>
      <c r="H63" s="65"/>
      <c r="I63" s="65"/>
      <c r="J63" s="65"/>
      <c r="K63" s="65"/>
      <c r="L63" s="65" t="s">
        <v>116</v>
      </c>
      <c r="M63" s="65" t="s">
        <v>125</v>
      </c>
      <c r="N63" s="65" t="s">
        <v>126</v>
      </c>
      <c r="O63" s="249" t="s">
        <v>314</v>
      </c>
      <c r="P63" s="154">
        <v>3530200000</v>
      </c>
      <c r="Q63" s="154">
        <v>0</v>
      </c>
      <c r="R63" s="154">
        <v>0</v>
      </c>
      <c r="S63" s="154">
        <v>3530200000</v>
      </c>
      <c r="T63" s="154">
        <v>0</v>
      </c>
      <c r="U63" s="154">
        <v>3530200000</v>
      </c>
      <c r="V63" s="154">
        <v>0</v>
      </c>
      <c r="W63" s="154">
        <v>581636096</v>
      </c>
      <c r="X63" s="154">
        <v>581636096</v>
      </c>
      <c r="Y63" s="154">
        <v>567835540</v>
      </c>
      <c r="Z63" s="154">
        <v>567835540</v>
      </c>
    </row>
    <row r="64" spans="1:26" s="141" customFormat="1" ht="33.75">
      <c r="A64" s="65" t="s">
        <v>13</v>
      </c>
      <c r="B64" s="249" t="s">
        <v>172</v>
      </c>
      <c r="C64" s="250" t="s">
        <v>347</v>
      </c>
      <c r="D64" s="65" t="s">
        <v>11</v>
      </c>
      <c r="E64" s="65" t="s">
        <v>307</v>
      </c>
      <c r="F64" s="65" t="s">
        <v>307</v>
      </c>
      <c r="G64" s="65" t="s">
        <v>318</v>
      </c>
      <c r="H64" s="65"/>
      <c r="I64" s="65"/>
      <c r="J64" s="65"/>
      <c r="K64" s="65"/>
      <c r="L64" s="65" t="s">
        <v>116</v>
      </c>
      <c r="M64" s="65" t="s">
        <v>125</v>
      </c>
      <c r="N64" s="65" t="s">
        <v>126</v>
      </c>
      <c r="O64" s="249" t="s">
        <v>372</v>
      </c>
      <c r="P64" s="154">
        <v>4651100000</v>
      </c>
      <c r="Q64" s="154">
        <v>0</v>
      </c>
      <c r="R64" s="154">
        <v>0</v>
      </c>
      <c r="S64" s="154">
        <v>4651100000</v>
      </c>
      <c r="T64" s="154">
        <v>4651100000</v>
      </c>
      <c r="U64" s="154">
        <v>0</v>
      </c>
      <c r="V64" s="154">
        <v>0</v>
      </c>
      <c r="W64" s="154">
        <v>0</v>
      </c>
      <c r="X64" s="154">
        <v>0</v>
      </c>
      <c r="Y64" s="154">
        <v>0</v>
      </c>
      <c r="Z64" s="154">
        <v>0</v>
      </c>
    </row>
    <row r="65" spans="1:26" s="141" customFormat="1" ht="22.5">
      <c r="A65" s="65" t="s">
        <v>13</v>
      </c>
      <c r="B65" s="249" t="s">
        <v>172</v>
      </c>
      <c r="C65" s="250" t="s">
        <v>432</v>
      </c>
      <c r="D65" s="65" t="s">
        <v>11</v>
      </c>
      <c r="E65" s="65" t="s">
        <v>310</v>
      </c>
      <c r="F65" s="65"/>
      <c r="G65" s="65"/>
      <c r="H65" s="65"/>
      <c r="I65" s="65"/>
      <c r="J65" s="65"/>
      <c r="K65" s="65"/>
      <c r="L65" s="65" t="s">
        <v>116</v>
      </c>
      <c r="M65" s="65" t="s">
        <v>125</v>
      </c>
      <c r="N65" s="65" t="s">
        <v>126</v>
      </c>
      <c r="O65" s="249" t="s">
        <v>433</v>
      </c>
      <c r="P65" s="154">
        <v>20315500000</v>
      </c>
      <c r="Q65" s="154">
        <v>0</v>
      </c>
      <c r="R65" s="154">
        <v>0</v>
      </c>
      <c r="S65" s="154">
        <v>20315500000</v>
      </c>
      <c r="T65" s="154">
        <v>0</v>
      </c>
      <c r="U65" s="154">
        <v>17857339192.779999</v>
      </c>
      <c r="V65" s="154">
        <v>2458160807.2199998</v>
      </c>
      <c r="W65" s="154">
        <v>12279497353.18</v>
      </c>
      <c r="X65" s="154">
        <v>2584028160.8400002</v>
      </c>
      <c r="Y65" s="154">
        <v>2584028160.8400002</v>
      </c>
      <c r="Z65" s="154">
        <v>2584028160.8400002</v>
      </c>
    </row>
    <row r="66" spans="1:26" s="141" customFormat="1" ht="45">
      <c r="A66" s="65" t="s">
        <v>13</v>
      </c>
      <c r="B66" s="249" t="s">
        <v>172</v>
      </c>
      <c r="C66" s="250" t="s">
        <v>330</v>
      </c>
      <c r="D66" s="65" t="s">
        <v>11</v>
      </c>
      <c r="E66" s="65" t="s">
        <v>313</v>
      </c>
      <c r="F66" s="65" t="s">
        <v>318</v>
      </c>
      <c r="G66" s="65" t="s">
        <v>310</v>
      </c>
      <c r="H66" s="65" t="s">
        <v>331</v>
      </c>
      <c r="I66" s="65"/>
      <c r="J66" s="65"/>
      <c r="K66" s="65"/>
      <c r="L66" s="65" t="s">
        <v>116</v>
      </c>
      <c r="M66" s="65" t="s">
        <v>125</v>
      </c>
      <c r="N66" s="65" t="s">
        <v>126</v>
      </c>
      <c r="O66" s="249" t="s">
        <v>352</v>
      </c>
      <c r="P66" s="154">
        <v>243200000</v>
      </c>
      <c r="Q66" s="154">
        <v>0</v>
      </c>
      <c r="R66" s="154">
        <v>0</v>
      </c>
      <c r="S66" s="154">
        <v>243200000</v>
      </c>
      <c r="T66" s="154">
        <v>0</v>
      </c>
      <c r="U66" s="154">
        <v>243200000</v>
      </c>
      <c r="V66" s="154">
        <v>0</v>
      </c>
      <c r="W66" s="154">
        <v>40330481</v>
      </c>
      <c r="X66" s="154">
        <v>40330481</v>
      </c>
      <c r="Y66" s="154">
        <v>40330481</v>
      </c>
      <c r="Z66" s="154">
        <v>40330481</v>
      </c>
    </row>
    <row r="67" spans="1:26" s="141" customFormat="1" ht="22.5">
      <c r="A67" s="65" t="s">
        <v>13</v>
      </c>
      <c r="B67" s="249" t="s">
        <v>172</v>
      </c>
      <c r="C67" s="250" t="s">
        <v>434</v>
      </c>
      <c r="D67" s="65" t="s">
        <v>11</v>
      </c>
      <c r="E67" s="65" t="s">
        <v>313</v>
      </c>
      <c r="F67" s="65" t="s">
        <v>117</v>
      </c>
      <c r="G67" s="65"/>
      <c r="H67" s="65"/>
      <c r="I67" s="65"/>
      <c r="J67" s="65"/>
      <c r="K67" s="65"/>
      <c r="L67" s="65" t="s">
        <v>116</v>
      </c>
      <c r="M67" s="65" t="s">
        <v>125</v>
      </c>
      <c r="N67" s="65" t="s">
        <v>126</v>
      </c>
      <c r="O67" s="249" t="s">
        <v>435</v>
      </c>
      <c r="P67" s="154">
        <v>101600000</v>
      </c>
      <c r="Q67" s="154">
        <v>0</v>
      </c>
      <c r="R67" s="154">
        <v>0</v>
      </c>
      <c r="S67" s="154">
        <v>101600000</v>
      </c>
      <c r="T67" s="154">
        <v>0</v>
      </c>
      <c r="U67" s="154">
        <v>0</v>
      </c>
      <c r="V67" s="154">
        <v>101600000</v>
      </c>
      <c r="W67" s="154">
        <v>0</v>
      </c>
      <c r="X67" s="154">
        <v>0</v>
      </c>
      <c r="Y67" s="154">
        <v>0</v>
      </c>
      <c r="Z67" s="154">
        <v>0</v>
      </c>
    </row>
    <row r="68" spans="1:26" s="141" customFormat="1" ht="22.5">
      <c r="A68" s="65" t="s">
        <v>13</v>
      </c>
      <c r="B68" s="249" t="s">
        <v>172</v>
      </c>
      <c r="C68" s="250" t="s">
        <v>298</v>
      </c>
      <c r="D68" s="65" t="s">
        <v>11</v>
      </c>
      <c r="E68" s="65" t="s">
        <v>332</v>
      </c>
      <c r="F68" s="65" t="s">
        <v>307</v>
      </c>
      <c r="G68" s="65"/>
      <c r="H68" s="65"/>
      <c r="I68" s="65"/>
      <c r="J68" s="65"/>
      <c r="K68" s="65"/>
      <c r="L68" s="65" t="s">
        <v>116</v>
      </c>
      <c r="M68" s="65" t="s">
        <v>125</v>
      </c>
      <c r="N68" s="65" t="s">
        <v>126</v>
      </c>
      <c r="O68" s="249" t="s">
        <v>333</v>
      </c>
      <c r="P68" s="154">
        <v>26495000</v>
      </c>
      <c r="Q68" s="154">
        <v>0</v>
      </c>
      <c r="R68" s="154">
        <v>0</v>
      </c>
      <c r="S68" s="154">
        <v>26495000</v>
      </c>
      <c r="T68" s="154">
        <v>0</v>
      </c>
      <c r="U68" s="154">
        <v>586000</v>
      </c>
      <c r="V68" s="154">
        <v>25909000</v>
      </c>
      <c r="W68" s="154">
        <v>586000</v>
      </c>
      <c r="X68" s="154">
        <v>586000</v>
      </c>
      <c r="Y68" s="154">
        <v>586000</v>
      </c>
      <c r="Z68" s="154">
        <v>586000</v>
      </c>
    </row>
    <row r="69" spans="1:26" s="141" customFormat="1" ht="22.5">
      <c r="A69" s="65" t="s">
        <v>13</v>
      </c>
      <c r="B69" s="249" t="s">
        <v>172</v>
      </c>
      <c r="C69" s="250" t="s">
        <v>294</v>
      </c>
      <c r="D69" s="65" t="s">
        <v>11</v>
      </c>
      <c r="E69" s="65" t="s">
        <v>332</v>
      </c>
      <c r="F69" s="65" t="s">
        <v>318</v>
      </c>
      <c r="G69" s="65" t="s">
        <v>307</v>
      </c>
      <c r="H69" s="65"/>
      <c r="I69" s="65"/>
      <c r="J69" s="65"/>
      <c r="K69" s="65"/>
      <c r="L69" s="65" t="s">
        <v>116</v>
      </c>
      <c r="M69" s="65" t="s">
        <v>125</v>
      </c>
      <c r="N69" s="65" t="s">
        <v>126</v>
      </c>
      <c r="O69" s="249" t="s">
        <v>334</v>
      </c>
      <c r="P69" s="154">
        <v>152570000</v>
      </c>
      <c r="Q69" s="154">
        <v>0</v>
      </c>
      <c r="R69" s="154">
        <v>0</v>
      </c>
      <c r="S69" s="154">
        <v>152570000</v>
      </c>
      <c r="T69" s="154">
        <v>0</v>
      </c>
      <c r="U69" s="154">
        <v>0</v>
      </c>
      <c r="V69" s="154">
        <v>152570000</v>
      </c>
      <c r="W69" s="154">
        <v>0</v>
      </c>
      <c r="X69" s="154">
        <v>0</v>
      </c>
      <c r="Y69" s="154">
        <v>0</v>
      </c>
      <c r="Z69" s="154">
        <v>0</v>
      </c>
    </row>
    <row r="70" spans="1:26" s="141" customFormat="1" ht="22.5">
      <c r="A70" s="65" t="s">
        <v>13</v>
      </c>
      <c r="B70" s="249" t="s">
        <v>172</v>
      </c>
      <c r="C70" s="250" t="s">
        <v>436</v>
      </c>
      <c r="D70" s="65" t="s">
        <v>430</v>
      </c>
      <c r="E70" s="65" t="s">
        <v>117</v>
      </c>
      <c r="F70" s="65" t="s">
        <v>318</v>
      </c>
      <c r="G70" s="65" t="s">
        <v>307</v>
      </c>
      <c r="H70" s="65"/>
      <c r="I70" s="65"/>
      <c r="J70" s="65"/>
      <c r="K70" s="65"/>
      <c r="L70" s="65" t="s">
        <v>116</v>
      </c>
      <c r="M70" s="65" t="s">
        <v>125</v>
      </c>
      <c r="N70" s="65" t="s">
        <v>118</v>
      </c>
      <c r="O70" s="249" t="s">
        <v>437</v>
      </c>
      <c r="P70" s="154">
        <v>1319413612</v>
      </c>
      <c r="Q70" s="154">
        <v>0</v>
      </c>
      <c r="R70" s="154">
        <v>0</v>
      </c>
      <c r="S70" s="154">
        <v>1319413612</v>
      </c>
      <c r="T70" s="154">
        <v>0</v>
      </c>
      <c r="U70" s="154">
        <v>0</v>
      </c>
      <c r="V70" s="154">
        <v>1319413612</v>
      </c>
      <c r="W70" s="154">
        <v>0</v>
      </c>
      <c r="X70" s="154">
        <v>0</v>
      </c>
      <c r="Y70" s="154">
        <v>0</v>
      </c>
      <c r="Z70" s="154">
        <v>0</v>
      </c>
    </row>
    <row r="71" spans="1:26" s="141" customFormat="1" ht="67.5">
      <c r="A71" s="65" t="s">
        <v>13</v>
      </c>
      <c r="B71" s="249" t="s">
        <v>172</v>
      </c>
      <c r="C71" s="250" t="s">
        <v>158</v>
      </c>
      <c r="D71" s="65" t="s">
        <v>16</v>
      </c>
      <c r="E71" s="65" t="s">
        <v>157</v>
      </c>
      <c r="F71" s="65" t="s">
        <v>132</v>
      </c>
      <c r="G71" s="65" t="s">
        <v>122</v>
      </c>
      <c r="H71" s="65" t="s">
        <v>84</v>
      </c>
      <c r="I71" s="65" t="s">
        <v>84</v>
      </c>
      <c r="J71" s="65" t="s">
        <v>84</v>
      </c>
      <c r="K71" s="65" t="s">
        <v>84</v>
      </c>
      <c r="L71" s="65" t="s">
        <v>116</v>
      </c>
      <c r="M71" s="65" t="s">
        <v>125</v>
      </c>
      <c r="N71" s="65" t="s">
        <v>118</v>
      </c>
      <c r="O71" s="249" t="s">
        <v>379</v>
      </c>
      <c r="P71" s="154">
        <v>3653134329</v>
      </c>
      <c r="Q71" s="154">
        <v>0</v>
      </c>
      <c r="R71" s="154">
        <v>0</v>
      </c>
      <c r="S71" s="154">
        <v>3653134329</v>
      </c>
      <c r="T71" s="154">
        <v>0</v>
      </c>
      <c r="U71" s="154">
        <v>3638870383</v>
      </c>
      <c r="V71" s="154">
        <v>14263946</v>
      </c>
      <c r="W71" s="154">
        <v>3190030826</v>
      </c>
      <c r="X71" s="154">
        <v>545213875</v>
      </c>
      <c r="Y71" s="154">
        <v>545213875</v>
      </c>
      <c r="Z71" s="154">
        <v>545213875</v>
      </c>
    </row>
    <row r="72" spans="1:26" s="141" customFormat="1" ht="33.75">
      <c r="A72" s="65" t="s">
        <v>14</v>
      </c>
      <c r="B72" s="249" t="s">
        <v>394</v>
      </c>
      <c r="C72" s="250" t="s">
        <v>306</v>
      </c>
      <c r="D72" s="65" t="s">
        <v>11</v>
      </c>
      <c r="E72" s="65" t="s">
        <v>307</v>
      </c>
      <c r="F72" s="65" t="s">
        <v>307</v>
      </c>
      <c r="G72" s="65" t="s">
        <v>307</v>
      </c>
      <c r="H72" s="65"/>
      <c r="I72" s="65"/>
      <c r="J72" s="65"/>
      <c r="K72" s="65"/>
      <c r="L72" s="65" t="s">
        <v>116</v>
      </c>
      <c r="M72" s="65" t="s">
        <v>117</v>
      </c>
      <c r="N72" s="65" t="s">
        <v>118</v>
      </c>
      <c r="O72" s="249" t="s">
        <v>308</v>
      </c>
      <c r="P72" s="154">
        <v>23073000000</v>
      </c>
      <c r="Q72" s="154">
        <v>0</v>
      </c>
      <c r="R72" s="154">
        <v>0</v>
      </c>
      <c r="S72" s="154">
        <v>23073000000</v>
      </c>
      <c r="T72" s="154">
        <v>0</v>
      </c>
      <c r="U72" s="154">
        <v>23073000000</v>
      </c>
      <c r="V72" s="154">
        <v>0</v>
      </c>
      <c r="W72" s="154">
        <v>4223867803</v>
      </c>
      <c r="X72" s="154">
        <v>4185072105</v>
      </c>
      <c r="Y72" s="154">
        <v>4185072105</v>
      </c>
      <c r="Z72" s="154">
        <v>4185072105</v>
      </c>
    </row>
    <row r="73" spans="1:26" s="141" customFormat="1" ht="33.75">
      <c r="A73" s="65" t="s">
        <v>14</v>
      </c>
      <c r="B73" s="249" t="s">
        <v>394</v>
      </c>
      <c r="C73" s="250" t="s">
        <v>309</v>
      </c>
      <c r="D73" s="65" t="s">
        <v>11</v>
      </c>
      <c r="E73" s="65" t="s">
        <v>307</v>
      </c>
      <c r="F73" s="65" t="s">
        <v>307</v>
      </c>
      <c r="G73" s="65" t="s">
        <v>310</v>
      </c>
      <c r="H73" s="65"/>
      <c r="I73" s="65"/>
      <c r="J73" s="65"/>
      <c r="K73" s="65"/>
      <c r="L73" s="65" t="s">
        <v>116</v>
      </c>
      <c r="M73" s="65" t="s">
        <v>117</v>
      </c>
      <c r="N73" s="65" t="s">
        <v>118</v>
      </c>
      <c r="O73" s="249" t="s">
        <v>311</v>
      </c>
      <c r="P73" s="154">
        <v>8591000000</v>
      </c>
      <c r="Q73" s="154">
        <v>0</v>
      </c>
      <c r="R73" s="154">
        <v>0</v>
      </c>
      <c r="S73" s="154">
        <v>8591000000</v>
      </c>
      <c r="T73" s="154">
        <v>0</v>
      </c>
      <c r="U73" s="154">
        <v>8591000000</v>
      </c>
      <c r="V73" s="154">
        <v>0</v>
      </c>
      <c r="W73" s="154">
        <v>1759386536</v>
      </c>
      <c r="X73" s="154">
        <v>1751709342</v>
      </c>
      <c r="Y73" s="154">
        <v>1751709342</v>
      </c>
      <c r="Z73" s="154">
        <v>1751709342</v>
      </c>
    </row>
    <row r="74" spans="1:26" s="141" customFormat="1" ht="33.75">
      <c r="A74" s="65" t="s">
        <v>14</v>
      </c>
      <c r="B74" s="249" t="s">
        <v>394</v>
      </c>
      <c r="C74" s="250" t="s">
        <v>312</v>
      </c>
      <c r="D74" s="65" t="s">
        <v>11</v>
      </c>
      <c r="E74" s="65" t="s">
        <v>307</v>
      </c>
      <c r="F74" s="65" t="s">
        <v>307</v>
      </c>
      <c r="G74" s="65" t="s">
        <v>313</v>
      </c>
      <c r="H74" s="65"/>
      <c r="I74" s="65"/>
      <c r="J74" s="65"/>
      <c r="K74" s="65"/>
      <c r="L74" s="65" t="s">
        <v>116</v>
      </c>
      <c r="M74" s="65" t="s">
        <v>117</v>
      </c>
      <c r="N74" s="65" t="s">
        <v>118</v>
      </c>
      <c r="O74" s="249" t="s">
        <v>314</v>
      </c>
      <c r="P74" s="154">
        <v>2343000000</v>
      </c>
      <c r="Q74" s="154">
        <v>0</v>
      </c>
      <c r="R74" s="154">
        <v>0</v>
      </c>
      <c r="S74" s="154">
        <v>2343000000</v>
      </c>
      <c r="T74" s="154">
        <v>0</v>
      </c>
      <c r="U74" s="154">
        <v>2343000000</v>
      </c>
      <c r="V74" s="154">
        <v>0</v>
      </c>
      <c r="W74" s="154">
        <v>353564669</v>
      </c>
      <c r="X74" s="154">
        <v>324414288</v>
      </c>
      <c r="Y74" s="154">
        <v>324414288</v>
      </c>
      <c r="Z74" s="154">
        <v>324414288</v>
      </c>
    </row>
    <row r="75" spans="1:26" s="141" customFormat="1" ht="33.75">
      <c r="A75" s="65" t="s">
        <v>14</v>
      </c>
      <c r="B75" s="249" t="s">
        <v>394</v>
      </c>
      <c r="C75" s="250" t="s">
        <v>432</v>
      </c>
      <c r="D75" s="65" t="s">
        <v>11</v>
      </c>
      <c r="E75" s="65" t="s">
        <v>310</v>
      </c>
      <c r="F75" s="65"/>
      <c r="G75" s="65"/>
      <c r="H75" s="65"/>
      <c r="I75" s="65"/>
      <c r="J75" s="65"/>
      <c r="K75" s="65"/>
      <c r="L75" s="65" t="s">
        <v>116</v>
      </c>
      <c r="M75" s="65" t="s">
        <v>117</v>
      </c>
      <c r="N75" s="65" t="s">
        <v>118</v>
      </c>
      <c r="O75" s="249" t="s">
        <v>433</v>
      </c>
      <c r="P75" s="154">
        <v>20188000000</v>
      </c>
      <c r="Q75" s="154">
        <v>0</v>
      </c>
      <c r="R75" s="154">
        <v>0</v>
      </c>
      <c r="S75" s="154">
        <v>20188000000</v>
      </c>
      <c r="T75" s="154">
        <v>0</v>
      </c>
      <c r="U75" s="154">
        <v>15628015746.559999</v>
      </c>
      <c r="V75" s="154">
        <v>4559984253.4399996</v>
      </c>
      <c r="W75" s="154">
        <v>10531035880.530001</v>
      </c>
      <c r="X75" s="154">
        <v>2361346733.8600001</v>
      </c>
      <c r="Y75" s="154">
        <v>2361346733.8600001</v>
      </c>
      <c r="Z75" s="154">
        <v>2361346733.8600001</v>
      </c>
    </row>
    <row r="76" spans="1:26" s="141" customFormat="1" ht="45">
      <c r="A76" s="65" t="s">
        <v>14</v>
      </c>
      <c r="B76" s="249" t="s">
        <v>394</v>
      </c>
      <c r="C76" s="250" t="s">
        <v>330</v>
      </c>
      <c r="D76" s="65" t="s">
        <v>11</v>
      </c>
      <c r="E76" s="65" t="s">
        <v>313</v>
      </c>
      <c r="F76" s="65" t="s">
        <v>318</v>
      </c>
      <c r="G76" s="65" t="s">
        <v>310</v>
      </c>
      <c r="H76" s="65" t="s">
        <v>331</v>
      </c>
      <c r="I76" s="65"/>
      <c r="J76" s="65"/>
      <c r="K76" s="65"/>
      <c r="L76" s="65" t="s">
        <v>116</v>
      </c>
      <c r="M76" s="65" t="s">
        <v>117</v>
      </c>
      <c r="N76" s="65" t="s">
        <v>118</v>
      </c>
      <c r="O76" s="249" t="s">
        <v>352</v>
      </c>
      <c r="P76" s="154">
        <v>163000000</v>
      </c>
      <c r="Q76" s="154">
        <v>0</v>
      </c>
      <c r="R76" s="154">
        <v>0</v>
      </c>
      <c r="S76" s="154">
        <v>163000000</v>
      </c>
      <c r="T76" s="154">
        <v>0</v>
      </c>
      <c r="U76" s="154">
        <v>163000000</v>
      </c>
      <c r="V76" s="154">
        <v>0</v>
      </c>
      <c r="W76" s="154">
        <v>20293391</v>
      </c>
      <c r="X76" s="154">
        <v>19004126</v>
      </c>
      <c r="Y76" s="154">
        <v>19004126</v>
      </c>
      <c r="Z76" s="154">
        <v>19004126</v>
      </c>
    </row>
    <row r="77" spans="1:26" s="141" customFormat="1" ht="33.75">
      <c r="A77" s="65" t="s">
        <v>14</v>
      </c>
      <c r="B77" s="249" t="s">
        <v>394</v>
      </c>
      <c r="C77" s="250" t="s">
        <v>434</v>
      </c>
      <c r="D77" s="65" t="s">
        <v>11</v>
      </c>
      <c r="E77" s="65" t="s">
        <v>313</v>
      </c>
      <c r="F77" s="65" t="s">
        <v>117</v>
      </c>
      <c r="G77" s="65"/>
      <c r="H77" s="65"/>
      <c r="I77" s="65"/>
      <c r="J77" s="65"/>
      <c r="K77" s="65"/>
      <c r="L77" s="65" t="s">
        <v>116</v>
      </c>
      <c r="M77" s="65" t="s">
        <v>117</v>
      </c>
      <c r="N77" s="65" t="s">
        <v>118</v>
      </c>
      <c r="O77" s="249" t="s">
        <v>435</v>
      </c>
      <c r="P77" s="154">
        <v>152000000</v>
      </c>
      <c r="Q77" s="154">
        <v>0</v>
      </c>
      <c r="R77" s="154">
        <v>0</v>
      </c>
      <c r="S77" s="154">
        <v>152000000</v>
      </c>
      <c r="T77" s="154">
        <v>0</v>
      </c>
      <c r="U77" s="154">
        <v>0</v>
      </c>
      <c r="V77" s="154">
        <v>152000000</v>
      </c>
      <c r="W77" s="154">
        <v>0</v>
      </c>
      <c r="X77" s="154">
        <v>0</v>
      </c>
      <c r="Y77" s="154">
        <v>0</v>
      </c>
      <c r="Z77" s="154">
        <v>0</v>
      </c>
    </row>
    <row r="78" spans="1:26" s="141" customFormat="1" ht="33.75">
      <c r="A78" s="65" t="s">
        <v>14</v>
      </c>
      <c r="B78" s="249" t="s">
        <v>394</v>
      </c>
      <c r="C78" s="250" t="s">
        <v>298</v>
      </c>
      <c r="D78" s="65" t="s">
        <v>11</v>
      </c>
      <c r="E78" s="65" t="s">
        <v>332</v>
      </c>
      <c r="F78" s="65" t="s">
        <v>307</v>
      </c>
      <c r="G78" s="65"/>
      <c r="H78" s="65"/>
      <c r="I78" s="65"/>
      <c r="J78" s="65"/>
      <c r="K78" s="65"/>
      <c r="L78" s="65" t="s">
        <v>116</v>
      </c>
      <c r="M78" s="65" t="s">
        <v>117</v>
      </c>
      <c r="N78" s="65" t="s">
        <v>118</v>
      </c>
      <c r="O78" s="249" t="s">
        <v>333</v>
      </c>
      <c r="P78" s="154">
        <v>211000000</v>
      </c>
      <c r="Q78" s="154">
        <v>0</v>
      </c>
      <c r="R78" s="154">
        <v>0</v>
      </c>
      <c r="S78" s="154">
        <v>211000000</v>
      </c>
      <c r="T78" s="154">
        <v>0</v>
      </c>
      <c r="U78" s="154">
        <v>211000000</v>
      </c>
      <c r="V78" s="154">
        <v>0</v>
      </c>
      <c r="W78" s="154">
        <v>35298425</v>
      </c>
      <c r="X78" s="154">
        <v>35298425</v>
      </c>
      <c r="Y78" s="154">
        <v>35298425</v>
      </c>
      <c r="Z78" s="154">
        <v>35298425</v>
      </c>
    </row>
    <row r="79" spans="1:26" s="141" customFormat="1" ht="33.75">
      <c r="A79" s="65" t="s">
        <v>14</v>
      </c>
      <c r="B79" s="249" t="s">
        <v>394</v>
      </c>
      <c r="C79" s="250" t="s">
        <v>294</v>
      </c>
      <c r="D79" s="65" t="s">
        <v>11</v>
      </c>
      <c r="E79" s="65" t="s">
        <v>332</v>
      </c>
      <c r="F79" s="65" t="s">
        <v>318</v>
      </c>
      <c r="G79" s="65" t="s">
        <v>307</v>
      </c>
      <c r="H79" s="65"/>
      <c r="I79" s="65"/>
      <c r="J79" s="65"/>
      <c r="K79" s="65"/>
      <c r="L79" s="65" t="s">
        <v>116</v>
      </c>
      <c r="M79" s="65" t="s">
        <v>125</v>
      </c>
      <c r="N79" s="65" t="s">
        <v>126</v>
      </c>
      <c r="O79" s="249" t="s">
        <v>334</v>
      </c>
      <c r="P79" s="154">
        <v>231000000</v>
      </c>
      <c r="Q79" s="154">
        <v>0</v>
      </c>
      <c r="R79" s="154">
        <v>0</v>
      </c>
      <c r="S79" s="154">
        <v>231000000</v>
      </c>
      <c r="T79" s="154">
        <v>0</v>
      </c>
      <c r="U79" s="154">
        <v>0</v>
      </c>
      <c r="V79" s="154">
        <v>231000000</v>
      </c>
      <c r="W79" s="154">
        <v>0</v>
      </c>
      <c r="X79" s="154">
        <v>0</v>
      </c>
      <c r="Y79" s="154">
        <v>0</v>
      </c>
      <c r="Z79" s="154">
        <v>0</v>
      </c>
    </row>
    <row r="80" spans="1:26" s="141" customFormat="1" ht="33.75">
      <c r="A80" s="65" t="s">
        <v>14</v>
      </c>
      <c r="B80" s="249" t="s">
        <v>394</v>
      </c>
      <c r="C80" s="250" t="s">
        <v>436</v>
      </c>
      <c r="D80" s="65" t="s">
        <v>430</v>
      </c>
      <c r="E80" s="65" t="s">
        <v>117</v>
      </c>
      <c r="F80" s="65" t="s">
        <v>318</v>
      </c>
      <c r="G80" s="65" t="s">
        <v>307</v>
      </c>
      <c r="H80" s="65"/>
      <c r="I80" s="65"/>
      <c r="J80" s="65"/>
      <c r="K80" s="65"/>
      <c r="L80" s="65" t="s">
        <v>116</v>
      </c>
      <c r="M80" s="65" t="s">
        <v>125</v>
      </c>
      <c r="N80" s="65" t="s">
        <v>118</v>
      </c>
      <c r="O80" s="249" t="s">
        <v>437</v>
      </c>
      <c r="P80" s="154">
        <v>131748779</v>
      </c>
      <c r="Q80" s="154">
        <v>0</v>
      </c>
      <c r="R80" s="154">
        <v>0</v>
      </c>
      <c r="S80" s="154">
        <v>131748779</v>
      </c>
      <c r="T80" s="154">
        <v>0</v>
      </c>
      <c r="U80" s="154">
        <v>0</v>
      </c>
      <c r="V80" s="154">
        <v>131748779</v>
      </c>
      <c r="W80" s="154">
        <v>0</v>
      </c>
      <c r="X80" s="154">
        <v>0</v>
      </c>
      <c r="Y80" s="154">
        <v>0</v>
      </c>
      <c r="Z80" s="154">
        <v>0</v>
      </c>
    </row>
    <row r="81" spans="1:26" s="141" customFormat="1" ht="56.25">
      <c r="A81" s="65" t="s">
        <v>14</v>
      </c>
      <c r="B81" s="249" t="s">
        <v>394</v>
      </c>
      <c r="C81" s="250" t="s">
        <v>175</v>
      </c>
      <c r="D81" s="65" t="s">
        <v>16</v>
      </c>
      <c r="E81" s="65" t="s">
        <v>140</v>
      </c>
      <c r="F81" s="65" t="s">
        <v>132</v>
      </c>
      <c r="G81" s="65" t="s">
        <v>123</v>
      </c>
      <c r="H81" s="65"/>
      <c r="I81" s="65"/>
      <c r="J81" s="65"/>
      <c r="K81" s="65"/>
      <c r="L81" s="65" t="s">
        <v>116</v>
      </c>
      <c r="M81" s="65" t="s">
        <v>125</v>
      </c>
      <c r="N81" s="65" t="s">
        <v>118</v>
      </c>
      <c r="O81" s="249" t="s">
        <v>440</v>
      </c>
      <c r="P81" s="154">
        <v>21496193399</v>
      </c>
      <c r="Q81" s="154">
        <v>0</v>
      </c>
      <c r="R81" s="154">
        <v>0</v>
      </c>
      <c r="S81" s="154">
        <v>21496193399</v>
      </c>
      <c r="T81" s="154">
        <v>0</v>
      </c>
      <c r="U81" s="154">
        <v>12488027513.85</v>
      </c>
      <c r="V81" s="154">
        <v>9008165885.1499996</v>
      </c>
      <c r="W81" s="154">
        <v>2893284026</v>
      </c>
      <c r="X81" s="154">
        <v>211943848</v>
      </c>
      <c r="Y81" s="154">
        <v>211943848</v>
      </c>
      <c r="Z81" s="154">
        <v>211943848</v>
      </c>
    </row>
    <row r="82" spans="1:26" s="141" customFormat="1" ht="56.25">
      <c r="A82" s="65" t="s">
        <v>14</v>
      </c>
      <c r="B82" s="249" t="s">
        <v>394</v>
      </c>
      <c r="C82" s="250" t="s">
        <v>175</v>
      </c>
      <c r="D82" s="65" t="s">
        <v>16</v>
      </c>
      <c r="E82" s="65" t="s">
        <v>140</v>
      </c>
      <c r="F82" s="65" t="s">
        <v>132</v>
      </c>
      <c r="G82" s="65" t="s">
        <v>123</v>
      </c>
      <c r="H82" s="65"/>
      <c r="I82" s="65"/>
      <c r="J82" s="65"/>
      <c r="K82" s="65"/>
      <c r="L82" s="65" t="s">
        <v>116</v>
      </c>
      <c r="M82" s="65" t="s">
        <v>167</v>
      </c>
      <c r="N82" s="65" t="s">
        <v>118</v>
      </c>
      <c r="O82" s="249" t="s">
        <v>440</v>
      </c>
      <c r="P82" s="154">
        <v>4242000000</v>
      </c>
      <c r="Q82" s="154">
        <v>0</v>
      </c>
      <c r="R82" s="154">
        <v>0</v>
      </c>
      <c r="S82" s="154">
        <v>4242000000</v>
      </c>
      <c r="T82" s="154">
        <v>0</v>
      </c>
      <c r="U82" s="154">
        <v>3242000000</v>
      </c>
      <c r="V82" s="154">
        <v>1000000000</v>
      </c>
      <c r="W82" s="154">
        <v>0</v>
      </c>
      <c r="X82" s="154">
        <v>0</v>
      </c>
      <c r="Y82" s="154">
        <v>0</v>
      </c>
      <c r="Z82" s="154">
        <v>0</v>
      </c>
    </row>
    <row r="83" spans="1:26" s="141" customFormat="1" ht="56.25">
      <c r="A83" s="65" t="s">
        <v>14</v>
      </c>
      <c r="B83" s="249" t="s">
        <v>394</v>
      </c>
      <c r="C83" s="250" t="s">
        <v>175</v>
      </c>
      <c r="D83" s="65" t="s">
        <v>16</v>
      </c>
      <c r="E83" s="65" t="s">
        <v>140</v>
      </c>
      <c r="F83" s="65" t="s">
        <v>132</v>
      </c>
      <c r="G83" s="65" t="s">
        <v>123</v>
      </c>
      <c r="H83" s="65"/>
      <c r="I83" s="65"/>
      <c r="J83" s="65"/>
      <c r="K83" s="65"/>
      <c r="L83" s="65" t="s">
        <v>174</v>
      </c>
      <c r="M83" s="65" t="s">
        <v>389</v>
      </c>
      <c r="N83" s="65" t="s">
        <v>118</v>
      </c>
      <c r="O83" s="249" t="s">
        <v>440</v>
      </c>
      <c r="P83" s="154">
        <v>6251000000</v>
      </c>
      <c r="Q83" s="154">
        <v>0</v>
      </c>
      <c r="R83" s="154">
        <v>0</v>
      </c>
      <c r="S83" s="154">
        <v>6251000000</v>
      </c>
      <c r="T83" s="154">
        <v>0</v>
      </c>
      <c r="U83" s="154">
        <v>4354362275</v>
      </c>
      <c r="V83" s="154">
        <v>1896637725</v>
      </c>
      <c r="W83" s="154">
        <v>1414534618</v>
      </c>
      <c r="X83" s="154">
        <v>156040656</v>
      </c>
      <c r="Y83" s="154">
        <v>156040656</v>
      </c>
      <c r="Z83" s="154">
        <v>156040656</v>
      </c>
    </row>
    <row r="84" spans="1:26" s="141" customFormat="1" ht="56.25">
      <c r="A84" s="65" t="s">
        <v>14</v>
      </c>
      <c r="B84" s="249" t="s">
        <v>394</v>
      </c>
      <c r="C84" s="250" t="s">
        <v>156</v>
      </c>
      <c r="D84" s="65" t="s">
        <v>16</v>
      </c>
      <c r="E84" s="65" t="s">
        <v>157</v>
      </c>
      <c r="F84" s="65" t="s">
        <v>132</v>
      </c>
      <c r="G84" s="65" t="s">
        <v>115</v>
      </c>
      <c r="H84" s="65"/>
      <c r="I84" s="65"/>
      <c r="J84" s="65"/>
      <c r="K84" s="65"/>
      <c r="L84" s="65" t="s">
        <v>116</v>
      </c>
      <c r="M84" s="65" t="s">
        <v>125</v>
      </c>
      <c r="N84" s="65" t="s">
        <v>118</v>
      </c>
      <c r="O84" s="249" t="s">
        <v>176</v>
      </c>
      <c r="P84" s="154">
        <v>3486881236</v>
      </c>
      <c r="Q84" s="154">
        <v>0</v>
      </c>
      <c r="R84" s="154">
        <v>0</v>
      </c>
      <c r="S84" s="154">
        <v>3486881236</v>
      </c>
      <c r="T84" s="154">
        <v>0</v>
      </c>
      <c r="U84" s="154">
        <v>887566055</v>
      </c>
      <c r="V84" s="154">
        <v>2599315181</v>
      </c>
      <c r="W84" s="154">
        <v>674562048</v>
      </c>
      <c r="X84" s="154">
        <v>84149770</v>
      </c>
      <c r="Y84" s="154">
        <v>84149770</v>
      </c>
      <c r="Z84" s="154">
        <v>84149770</v>
      </c>
    </row>
    <row r="85" spans="1:26" s="141" customFormat="1" ht="45">
      <c r="A85" s="65" t="s">
        <v>15</v>
      </c>
      <c r="B85" s="249" t="s">
        <v>395</v>
      </c>
      <c r="C85" s="250" t="s">
        <v>293</v>
      </c>
      <c r="D85" s="65" t="s">
        <v>11</v>
      </c>
      <c r="E85" s="65" t="s">
        <v>313</v>
      </c>
      <c r="F85" s="65" t="s">
        <v>313</v>
      </c>
      <c r="G85" s="65" t="s">
        <v>307</v>
      </c>
      <c r="H85" s="65" t="s">
        <v>348</v>
      </c>
      <c r="I85" s="65"/>
      <c r="J85" s="65"/>
      <c r="K85" s="65"/>
      <c r="L85" s="65" t="s">
        <v>174</v>
      </c>
      <c r="M85" s="65" t="s">
        <v>389</v>
      </c>
      <c r="N85" s="65" t="s">
        <v>118</v>
      </c>
      <c r="O85" s="249" t="s">
        <v>386</v>
      </c>
      <c r="P85" s="154">
        <v>80619565000</v>
      </c>
      <c r="Q85" s="154">
        <v>0</v>
      </c>
      <c r="R85" s="154">
        <v>0</v>
      </c>
      <c r="S85" s="154">
        <v>80619565000</v>
      </c>
      <c r="T85" s="154">
        <v>0</v>
      </c>
      <c r="U85" s="154">
        <v>80619565000</v>
      </c>
      <c r="V85" s="154">
        <v>0</v>
      </c>
      <c r="W85" s="154">
        <v>80619565000</v>
      </c>
      <c r="X85" s="154">
        <v>80619565000</v>
      </c>
      <c r="Y85" s="154">
        <v>80619565000</v>
      </c>
      <c r="Z85" s="154">
        <v>80619565000</v>
      </c>
    </row>
    <row r="86" spans="1:26" s="141" customFormat="1" ht="22.5">
      <c r="A86" s="65" t="s">
        <v>15</v>
      </c>
      <c r="B86" s="249" t="s">
        <v>395</v>
      </c>
      <c r="C86" s="250" t="s">
        <v>434</v>
      </c>
      <c r="D86" s="65" t="s">
        <v>11</v>
      </c>
      <c r="E86" s="65" t="s">
        <v>313</v>
      </c>
      <c r="F86" s="65" t="s">
        <v>117</v>
      </c>
      <c r="G86" s="65"/>
      <c r="H86" s="65"/>
      <c r="I86" s="65"/>
      <c r="J86" s="65"/>
      <c r="K86" s="65"/>
      <c r="L86" s="65" t="s">
        <v>174</v>
      </c>
      <c r="M86" s="65" t="s">
        <v>388</v>
      </c>
      <c r="N86" s="65" t="s">
        <v>118</v>
      </c>
      <c r="O86" s="249" t="s">
        <v>435</v>
      </c>
      <c r="P86" s="154">
        <v>500000000</v>
      </c>
      <c r="Q86" s="154">
        <v>0</v>
      </c>
      <c r="R86" s="154">
        <v>0</v>
      </c>
      <c r="S86" s="154">
        <v>500000000</v>
      </c>
      <c r="T86" s="154">
        <v>0</v>
      </c>
      <c r="U86" s="154">
        <v>0</v>
      </c>
      <c r="V86" s="154">
        <v>500000000</v>
      </c>
      <c r="W86" s="154">
        <v>0</v>
      </c>
      <c r="X86" s="154">
        <v>0</v>
      </c>
      <c r="Y86" s="154">
        <v>0</v>
      </c>
      <c r="Z86" s="154">
        <v>0</v>
      </c>
    </row>
    <row r="87" spans="1:26" s="141" customFormat="1" ht="22.5">
      <c r="A87" s="65" t="s">
        <v>15</v>
      </c>
      <c r="B87" s="249" t="s">
        <v>395</v>
      </c>
      <c r="C87" s="250" t="s">
        <v>294</v>
      </c>
      <c r="D87" s="65" t="s">
        <v>11</v>
      </c>
      <c r="E87" s="65" t="s">
        <v>332</v>
      </c>
      <c r="F87" s="65" t="s">
        <v>318</v>
      </c>
      <c r="G87" s="65" t="s">
        <v>307</v>
      </c>
      <c r="H87" s="65"/>
      <c r="I87" s="65"/>
      <c r="J87" s="65"/>
      <c r="K87" s="65"/>
      <c r="L87" s="65" t="s">
        <v>174</v>
      </c>
      <c r="M87" s="65" t="s">
        <v>388</v>
      </c>
      <c r="N87" s="65" t="s">
        <v>118</v>
      </c>
      <c r="O87" s="249" t="s">
        <v>334</v>
      </c>
      <c r="P87" s="154">
        <v>1392000000</v>
      </c>
      <c r="Q87" s="154">
        <v>0</v>
      </c>
      <c r="R87" s="154">
        <v>0</v>
      </c>
      <c r="S87" s="154">
        <v>1392000000</v>
      </c>
      <c r="T87" s="154">
        <v>0</v>
      </c>
      <c r="U87" s="154">
        <v>481009084</v>
      </c>
      <c r="V87" s="154">
        <v>910990916</v>
      </c>
      <c r="W87" s="154">
        <v>481009084</v>
      </c>
      <c r="X87" s="154">
        <v>481009084</v>
      </c>
      <c r="Y87" s="154">
        <v>481009084</v>
      </c>
      <c r="Z87" s="154">
        <v>481009084</v>
      </c>
    </row>
    <row r="88" spans="1:26" s="141" customFormat="1" ht="90">
      <c r="A88" s="65" t="s">
        <v>15</v>
      </c>
      <c r="B88" s="249" t="s">
        <v>395</v>
      </c>
      <c r="C88" s="250" t="s">
        <v>130</v>
      </c>
      <c r="D88" s="65" t="s">
        <v>16</v>
      </c>
      <c r="E88" s="65" t="s">
        <v>131</v>
      </c>
      <c r="F88" s="65" t="s">
        <v>132</v>
      </c>
      <c r="G88" s="65" t="s">
        <v>122</v>
      </c>
      <c r="H88" s="65"/>
      <c r="I88" s="65"/>
      <c r="J88" s="65"/>
      <c r="K88" s="65"/>
      <c r="L88" s="65" t="s">
        <v>116</v>
      </c>
      <c r="M88" s="65" t="s">
        <v>117</v>
      </c>
      <c r="N88" s="65" t="s">
        <v>118</v>
      </c>
      <c r="O88" s="249" t="s">
        <v>374</v>
      </c>
      <c r="P88" s="154">
        <v>369679862938</v>
      </c>
      <c r="Q88" s="154">
        <v>0</v>
      </c>
      <c r="R88" s="154">
        <v>0</v>
      </c>
      <c r="S88" s="154">
        <v>369679862938</v>
      </c>
      <c r="T88" s="154">
        <v>369679862938</v>
      </c>
      <c r="U88" s="154">
        <v>0</v>
      </c>
      <c r="V88" s="154">
        <v>0</v>
      </c>
      <c r="W88" s="154">
        <v>0</v>
      </c>
      <c r="X88" s="154">
        <v>0</v>
      </c>
      <c r="Y88" s="154">
        <v>0</v>
      </c>
      <c r="Z88" s="154">
        <v>0</v>
      </c>
    </row>
    <row r="89" spans="1:26" s="141" customFormat="1" ht="67.5">
      <c r="A89" s="65" t="s">
        <v>15</v>
      </c>
      <c r="B89" s="249" t="s">
        <v>395</v>
      </c>
      <c r="C89" s="250" t="s">
        <v>133</v>
      </c>
      <c r="D89" s="65" t="s">
        <v>16</v>
      </c>
      <c r="E89" s="65" t="s">
        <v>131</v>
      </c>
      <c r="F89" s="65" t="s">
        <v>132</v>
      </c>
      <c r="G89" s="65" t="s">
        <v>123</v>
      </c>
      <c r="H89" s="65" t="s">
        <v>84</v>
      </c>
      <c r="I89" s="65" t="s">
        <v>84</v>
      </c>
      <c r="J89" s="65" t="s">
        <v>84</v>
      </c>
      <c r="K89" s="65" t="s">
        <v>84</v>
      </c>
      <c r="L89" s="65" t="s">
        <v>174</v>
      </c>
      <c r="M89" s="65" t="s">
        <v>389</v>
      </c>
      <c r="N89" s="65" t="s">
        <v>118</v>
      </c>
      <c r="O89" s="249" t="s">
        <v>380</v>
      </c>
      <c r="P89" s="154">
        <v>29445464006</v>
      </c>
      <c r="Q89" s="154">
        <v>0</v>
      </c>
      <c r="R89" s="154">
        <v>0</v>
      </c>
      <c r="S89" s="154">
        <v>29445464006</v>
      </c>
      <c r="T89" s="154">
        <v>0</v>
      </c>
      <c r="U89" s="154">
        <v>26766221930</v>
      </c>
      <c r="V89" s="154">
        <v>2679242076</v>
      </c>
      <c r="W89" s="154">
        <v>23122503523</v>
      </c>
      <c r="X89" s="154">
        <v>3433412935.8899999</v>
      </c>
      <c r="Y89" s="154">
        <v>3433412935.8899999</v>
      </c>
      <c r="Z89" s="154">
        <v>3433412935.8899999</v>
      </c>
    </row>
    <row r="90" spans="1:26" s="141" customFormat="1" ht="67.5">
      <c r="A90" s="65" t="s">
        <v>15</v>
      </c>
      <c r="B90" s="249" t="s">
        <v>395</v>
      </c>
      <c r="C90" s="250" t="s">
        <v>133</v>
      </c>
      <c r="D90" s="65" t="s">
        <v>16</v>
      </c>
      <c r="E90" s="65" t="s">
        <v>131</v>
      </c>
      <c r="F90" s="65" t="s">
        <v>132</v>
      </c>
      <c r="G90" s="65" t="s">
        <v>123</v>
      </c>
      <c r="H90" s="65" t="s">
        <v>84</v>
      </c>
      <c r="I90" s="65" t="s">
        <v>84</v>
      </c>
      <c r="J90" s="65" t="s">
        <v>84</v>
      </c>
      <c r="K90" s="65" t="s">
        <v>84</v>
      </c>
      <c r="L90" s="65" t="s">
        <v>174</v>
      </c>
      <c r="M90" s="65" t="s">
        <v>388</v>
      </c>
      <c r="N90" s="65" t="s">
        <v>118</v>
      </c>
      <c r="O90" s="249" t="s">
        <v>380</v>
      </c>
      <c r="P90" s="154">
        <v>43072307409</v>
      </c>
      <c r="Q90" s="154">
        <v>0</v>
      </c>
      <c r="R90" s="154">
        <v>0</v>
      </c>
      <c r="S90" s="154">
        <v>43072307409</v>
      </c>
      <c r="T90" s="154">
        <v>0</v>
      </c>
      <c r="U90" s="154">
        <v>42984739236</v>
      </c>
      <c r="V90" s="154">
        <v>87568173</v>
      </c>
      <c r="W90" s="154">
        <v>39385080038</v>
      </c>
      <c r="X90" s="154">
        <v>5442118613</v>
      </c>
      <c r="Y90" s="154">
        <v>5411023829</v>
      </c>
      <c r="Z90" s="154">
        <v>5411023829</v>
      </c>
    </row>
    <row r="91" spans="1:26" s="141" customFormat="1" ht="78.75">
      <c r="A91" s="65" t="s">
        <v>15</v>
      </c>
      <c r="B91" s="249" t="s">
        <v>395</v>
      </c>
      <c r="C91" s="250" t="s">
        <v>178</v>
      </c>
      <c r="D91" s="65" t="s">
        <v>16</v>
      </c>
      <c r="E91" s="65" t="s">
        <v>136</v>
      </c>
      <c r="F91" s="65" t="s">
        <v>132</v>
      </c>
      <c r="G91" s="65" t="s">
        <v>129</v>
      </c>
      <c r="H91" s="65"/>
      <c r="I91" s="65"/>
      <c r="J91" s="65"/>
      <c r="K91" s="65"/>
      <c r="L91" s="65" t="s">
        <v>174</v>
      </c>
      <c r="M91" s="65" t="s">
        <v>389</v>
      </c>
      <c r="N91" s="65" t="s">
        <v>118</v>
      </c>
      <c r="O91" s="249" t="s">
        <v>171</v>
      </c>
      <c r="P91" s="154">
        <v>31502889003</v>
      </c>
      <c r="Q91" s="154">
        <v>0</v>
      </c>
      <c r="R91" s="154">
        <v>0</v>
      </c>
      <c r="S91" s="154">
        <v>31502889003</v>
      </c>
      <c r="T91" s="154">
        <v>0</v>
      </c>
      <c r="U91" s="154">
        <v>858943545</v>
      </c>
      <c r="V91" s="154">
        <v>30643945458</v>
      </c>
      <c r="W91" s="154">
        <v>387819284</v>
      </c>
      <c r="X91" s="154">
        <v>0</v>
      </c>
      <c r="Y91" s="154">
        <v>0</v>
      </c>
      <c r="Z91" s="154">
        <v>0</v>
      </c>
    </row>
    <row r="92" spans="1:26" s="141" customFormat="1" ht="78.75">
      <c r="A92" s="65" t="s">
        <v>15</v>
      </c>
      <c r="B92" s="249" t="s">
        <v>395</v>
      </c>
      <c r="C92" s="250" t="s">
        <v>178</v>
      </c>
      <c r="D92" s="65" t="s">
        <v>16</v>
      </c>
      <c r="E92" s="65" t="s">
        <v>136</v>
      </c>
      <c r="F92" s="65" t="s">
        <v>132</v>
      </c>
      <c r="G92" s="65" t="s">
        <v>129</v>
      </c>
      <c r="H92" s="65"/>
      <c r="I92" s="65"/>
      <c r="J92" s="65"/>
      <c r="K92" s="65"/>
      <c r="L92" s="65" t="s">
        <v>174</v>
      </c>
      <c r="M92" s="65" t="s">
        <v>388</v>
      </c>
      <c r="N92" s="65" t="s">
        <v>118</v>
      </c>
      <c r="O92" s="249" t="s">
        <v>171</v>
      </c>
      <c r="P92" s="154">
        <v>13626616515</v>
      </c>
      <c r="Q92" s="154">
        <v>0</v>
      </c>
      <c r="R92" s="154">
        <v>0</v>
      </c>
      <c r="S92" s="154">
        <v>13626616515</v>
      </c>
      <c r="T92" s="154">
        <v>0</v>
      </c>
      <c r="U92" s="154">
        <v>4652283689.25</v>
      </c>
      <c r="V92" s="154">
        <v>8974332825.75</v>
      </c>
      <c r="W92" s="154">
        <v>3642545596.25</v>
      </c>
      <c r="X92" s="154">
        <v>269152069.60000002</v>
      </c>
      <c r="Y92" s="154">
        <v>269152069.60000002</v>
      </c>
      <c r="Z92" s="154">
        <v>269152069.60000002</v>
      </c>
    </row>
    <row r="93" spans="1:26" s="141" customFormat="1" ht="56.25">
      <c r="A93" s="65" t="s">
        <v>15</v>
      </c>
      <c r="B93" s="249" t="s">
        <v>395</v>
      </c>
      <c r="C93" s="250" t="s">
        <v>198</v>
      </c>
      <c r="D93" s="65" t="s">
        <v>16</v>
      </c>
      <c r="E93" s="65" t="s">
        <v>136</v>
      </c>
      <c r="F93" s="65" t="s">
        <v>132</v>
      </c>
      <c r="G93" s="65" t="s">
        <v>144</v>
      </c>
      <c r="H93" s="65"/>
      <c r="I93" s="65"/>
      <c r="J93" s="65"/>
      <c r="K93" s="65"/>
      <c r="L93" s="65" t="s">
        <v>174</v>
      </c>
      <c r="M93" s="65" t="s">
        <v>388</v>
      </c>
      <c r="N93" s="65" t="s">
        <v>118</v>
      </c>
      <c r="O93" s="249" t="s">
        <v>349</v>
      </c>
      <c r="P93" s="154">
        <v>1369300000</v>
      </c>
      <c r="Q93" s="154">
        <v>0</v>
      </c>
      <c r="R93" s="154">
        <v>0</v>
      </c>
      <c r="S93" s="154">
        <v>1369300000</v>
      </c>
      <c r="T93" s="154">
        <v>0</v>
      </c>
      <c r="U93" s="154">
        <v>0</v>
      </c>
      <c r="V93" s="154">
        <v>1369300000</v>
      </c>
      <c r="W93" s="154">
        <v>0</v>
      </c>
      <c r="X93" s="154">
        <v>0</v>
      </c>
      <c r="Y93" s="154">
        <v>0</v>
      </c>
      <c r="Z93" s="154">
        <v>0</v>
      </c>
    </row>
    <row r="94" spans="1:26" s="141" customFormat="1" ht="101.25">
      <c r="A94" s="65" t="s">
        <v>15</v>
      </c>
      <c r="B94" s="249" t="s">
        <v>395</v>
      </c>
      <c r="C94" s="250" t="s">
        <v>285</v>
      </c>
      <c r="D94" s="65" t="s">
        <v>16</v>
      </c>
      <c r="E94" s="65" t="s">
        <v>136</v>
      </c>
      <c r="F94" s="65" t="s">
        <v>132</v>
      </c>
      <c r="G94" s="65" t="s">
        <v>128</v>
      </c>
      <c r="H94" s="65"/>
      <c r="I94" s="65"/>
      <c r="J94" s="65"/>
      <c r="K94" s="65"/>
      <c r="L94" s="65" t="s">
        <v>174</v>
      </c>
      <c r="M94" s="65" t="s">
        <v>389</v>
      </c>
      <c r="N94" s="65" t="s">
        <v>118</v>
      </c>
      <c r="O94" s="249" t="s">
        <v>350</v>
      </c>
      <c r="P94" s="154">
        <v>8093188300</v>
      </c>
      <c r="Q94" s="154">
        <v>0</v>
      </c>
      <c r="R94" s="154">
        <v>0</v>
      </c>
      <c r="S94" s="154">
        <v>8093188300</v>
      </c>
      <c r="T94" s="154">
        <v>0</v>
      </c>
      <c r="U94" s="154">
        <v>0</v>
      </c>
      <c r="V94" s="154">
        <v>8093188300</v>
      </c>
      <c r="W94" s="154">
        <v>0</v>
      </c>
      <c r="X94" s="154">
        <v>0</v>
      </c>
      <c r="Y94" s="154">
        <v>0</v>
      </c>
      <c r="Z94" s="154">
        <v>0</v>
      </c>
    </row>
    <row r="95" spans="1:26" s="141" customFormat="1" ht="101.25">
      <c r="A95" s="65" t="s">
        <v>15</v>
      </c>
      <c r="B95" s="249" t="s">
        <v>395</v>
      </c>
      <c r="C95" s="250" t="s">
        <v>285</v>
      </c>
      <c r="D95" s="65" t="s">
        <v>16</v>
      </c>
      <c r="E95" s="65" t="s">
        <v>136</v>
      </c>
      <c r="F95" s="65" t="s">
        <v>132</v>
      </c>
      <c r="G95" s="65" t="s">
        <v>128</v>
      </c>
      <c r="H95" s="65"/>
      <c r="I95" s="65"/>
      <c r="J95" s="65"/>
      <c r="K95" s="65"/>
      <c r="L95" s="65" t="s">
        <v>174</v>
      </c>
      <c r="M95" s="65" t="s">
        <v>388</v>
      </c>
      <c r="N95" s="65" t="s">
        <v>118</v>
      </c>
      <c r="O95" s="249" t="s">
        <v>350</v>
      </c>
      <c r="P95" s="154">
        <v>7687106182</v>
      </c>
      <c r="Q95" s="154">
        <v>0</v>
      </c>
      <c r="R95" s="154">
        <v>0</v>
      </c>
      <c r="S95" s="154">
        <v>7687106182</v>
      </c>
      <c r="T95" s="154">
        <v>0</v>
      </c>
      <c r="U95" s="154">
        <v>2888261537</v>
      </c>
      <c r="V95" s="154">
        <v>4798844645</v>
      </c>
      <c r="W95" s="154">
        <v>2571497438</v>
      </c>
      <c r="X95" s="154">
        <v>91949840.209999993</v>
      </c>
      <c r="Y95" s="154">
        <v>91949840.209999993</v>
      </c>
      <c r="Z95" s="154">
        <v>91949840.209999993</v>
      </c>
    </row>
    <row r="96" spans="1:26" s="141" customFormat="1" ht="67.5">
      <c r="A96" s="65" t="s">
        <v>15</v>
      </c>
      <c r="B96" s="249" t="s">
        <v>395</v>
      </c>
      <c r="C96" s="250" t="s">
        <v>289</v>
      </c>
      <c r="D96" s="65" t="s">
        <v>16</v>
      </c>
      <c r="E96" s="65" t="s">
        <v>136</v>
      </c>
      <c r="F96" s="65" t="s">
        <v>132</v>
      </c>
      <c r="G96" s="65" t="s">
        <v>121</v>
      </c>
      <c r="H96" s="65"/>
      <c r="I96" s="65"/>
      <c r="J96" s="65"/>
      <c r="K96" s="65"/>
      <c r="L96" s="65" t="s">
        <v>174</v>
      </c>
      <c r="M96" s="65" t="s">
        <v>389</v>
      </c>
      <c r="N96" s="65" t="s">
        <v>118</v>
      </c>
      <c r="O96" s="249" t="s">
        <v>381</v>
      </c>
      <c r="P96" s="154">
        <v>150000000</v>
      </c>
      <c r="Q96" s="154">
        <v>0</v>
      </c>
      <c r="R96" s="154">
        <v>0</v>
      </c>
      <c r="S96" s="154">
        <v>150000000</v>
      </c>
      <c r="T96" s="154">
        <v>0</v>
      </c>
      <c r="U96" s="154">
        <v>0</v>
      </c>
      <c r="V96" s="154">
        <v>150000000</v>
      </c>
      <c r="W96" s="154">
        <v>0</v>
      </c>
      <c r="X96" s="154">
        <v>0</v>
      </c>
      <c r="Y96" s="154">
        <v>0</v>
      </c>
      <c r="Z96" s="154">
        <v>0</v>
      </c>
    </row>
    <row r="97" spans="1:26" s="141" customFormat="1" ht="67.5">
      <c r="A97" s="65" t="s">
        <v>15</v>
      </c>
      <c r="B97" s="249" t="s">
        <v>395</v>
      </c>
      <c r="C97" s="250" t="s">
        <v>378</v>
      </c>
      <c r="D97" s="65" t="s">
        <v>16</v>
      </c>
      <c r="E97" s="65" t="s">
        <v>157</v>
      </c>
      <c r="F97" s="65" t="s">
        <v>132</v>
      </c>
      <c r="G97" s="65" t="s">
        <v>129</v>
      </c>
      <c r="H97" s="65" t="s">
        <v>84</v>
      </c>
      <c r="I97" s="65" t="s">
        <v>84</v>
      </c>
      <c r="J97" s="65" t="s">
        <v>84</v>
      </c>
      <c r="K97" s="65" t="s">
        <v>84</v>
      </c>
      <c r="L97" s="65" t="s">
        <v>174</v>
      </c>
      <c r="M97" s="65" t="s">
        <v>389</v>
      </c>
      <c r="N97" s="65" t="s">
        <v>118</v>
      </c>
      <c r="O97" s="249" t="s">
        <v>379</v>
      </c>
      <c r="P97" s="154">
        <v>27579330098</v>
      </c>
      <c r="Q97" s="154">
        <v>0</v>
      </c>
      <c r="R97" s="154">
        <v>0</v>
      </c>
      <c r="S97" s="154">
        <v>27579330098</v>
      </c>
      <c r="T97" s="154">
        <v>0</v>
      </c>
      <c r="U97" s="154">
        <v>20139094429</v>
      </c>
      <c r="V97" s="154">
        <v>7440235669</v>
      </c>
      <c r="W97" s="154">
        <v>10567835760.809999</v>
      </c>
      <c r="X97" s="154">
        <v>1140501806.4400001</v>
      </c>
      <c r="Y97" s="154">
        <v>1136409058.4400001</v>
      </c>
      <c r="Z97" s="154">
        <v>1136409058.4400001</v>
      </c>
    </row>
    <row r="98" spans="1:26" s="141" customFormat="1" ht="33.75">
      <c r="A98" s="65" t="s">
        <v>78</v>
      </c>
      <c r="B98" s="249" t="s">
        <v>396</v>
      </c>
      <c r="C98" s="250" t="s">
        <v>306</v>
      </c>
      <c r="D98" s="65" t="s">
        <v>11</v>
      </c>
      <c r="E98" s="65" t="s">
        <v>307</v>
      </c>
      <c r="F98" s="65" t="s">
        <v>307</v>
      </c>
      <c r="G98" s="65" t="s">
        <v>307</v>
      </c>
      <c r="H98" s="65"/>
      <c r="I98" s="65"/>
      <c r="J98" s="65"/>
      <c r="K98" s="65"/>
      <c r="L98" s="65" t="s">
        <v>116</v>
      </c>
      <c r="M98" s="65" t="s">
        <v>117</v>
      </c>
      <c r="N98" s="65" t="s">
        <v>118</v>
      </c>
      <c r="O98" s="249" t="s">
        <v>308</v>
      </c>
      <c r="P98" s="154">
        <v>1517300000</v>
      </c>
      <c r="Q98" s="154">
        <v>0</v>
      </c>
      <c r="R98" s="154">
        <v>0</v>
      </c>
      <c r="S98" s="154">
        <v>1517300000</v>
      </c>
      <c r="T98" s="154">
        <v>0</v>
      </c>
      <c r="U98" s="154">
        <v>388122279</v>
      </c>
      <c r="V98" s="154">
        <v>1129177721</v>
      </c>
      <c r="W98" s="154">
        <v>388122279</v>
      </c>
      <c r="X98" s="154">
        <v>388122279</v>
      </c>
      <c r="Y98" s="154">
        <v>388122279</v>
      </c>
      <c r="Z98" s="154">
        <v>388122279</v>
      </c>
    </row>
    <row r="99" spans="1:26" s="141" customFormat="1" ht="33.75">
      <c r="A99" s="65" t="s">
        <v>78</v>
      </c>
      <c r="B99" s="249" t="s">
        <v>396</v>
      </c>
      <c r="C99" s="250" t="s">
        <v>309</v>
      </c>
      <c r="D99" s="65" t="s">
        <v>11</v>
      </c>
      <c r="E99" s="65" t="s">
        <v>307</v>
      </c>
      <c r="F99" s="65" t="s">
        <v>307</v>
      </c>
      <c r="G99" s="65" t="s">
        <v>310</v>
      </c>
      <c r="H99" s="65"/>
      <c r="I99" s="65"/>
      <c r="J99" s="65"/>
      <c r="K99" s="65"/>
      <c r="L99" s="65" t="s">
        <v>116</v>
      </c>
      <c r="M99" s="65" t="s">
        <v>117</v>
      </c>
      <c r="N99" s="65" t="s">
        <v>118</v>
      </c>
      <c r="O99" s="249" t="s">
        <v>311</v>
      </c>
      <c r="P99" s="154">
        <v>570800000</v>
      </c>
      <c r="Q99" s="154">
        <v>0</v>
      </c>
      <c r="R99" s="154">
        <v>0</v>
      </c>
      <c r="S99" s="154">
        <v>570800000</v>
      </c>
      <c r="T99" s="154">
        <v>0</v>
      </c>
      <c r="U99" s="154">
        <v>149578375</v>
      </c>
      <c r="V99" s="154">
        <v>421221625</v>
      </c>
      <c r="W99" s="154">
        <v>149578375</v>
      </c>
      <c r="X99" s="154">
        <v>149578375</v>
      </c>
      <c r="Y99" s="154">
        <v>149578375</v>
      </c>
      <c r="Z99" s="154">
        <v>149578375</v>
      </c>
    </row>
    <row r="100" spans="1:26" s="141" customFormat="1" ht="33.75">
      <c r="A100" s="65" t="s">
        <v>78</v>
      </c>
      <c r="B100" s="249" t="s">
        <v>396</v>
      </c>
      <c r="C100" s="250" t="s">
        <v>312</v>
      </c>
      <c r="D100" s="65" t="s">
        <v>11</v>
      </c>
      <c r="E100" s="65" t="s">
        <v>307</v>
      </c>
      <c r="F100" s="65" t="s">
        <v>307</v>
      </c>
      <c r="G100" s="65" t="s">
        <v>313</v>
      </c>
      <c r="H100" s="65"/>
      <c r="I100" s="65"/>
      <c r="J100" s="65"/>
      <c r="K100" s="65"/>
      <c r="L100" s="65" t="s">
        <v>116</v>
      </c>
      <c r="M100" s="65" t="s">
        <v>117</v>
      </c>
      <c r="N100" s="65" t="s">
        <v>118</v>
      </c>
      <c r="O100" s="249" t="s">
        <v>314</v>
      </c>
      <c r="P100" s="154">
        <v>256800000</v>
      </c>
      <c r="Q100" s="154">
        <v>0</v>
      </c>
      <c r="R100" s="154">
        <v>0</v>
      </c>
      <c r="S100" s="154">
        <v>256800000</v>
      </c>
      <c r="T100" s="154">
        <v>0</v>
      </c>
      <c r="U100" s="154">
        <v>69781891</v>
      </c>
      <c r="V100" s="154">
        <v>187018109</v>
      </c>
      <c r="W100" s="154">
        <v>69781891</v>
      </c>
      <c r="X100" s="154">
        <v>69781891</v>
      </c>
      <c r="Y100" s="154">
        <v>69781891</v>
      </c>
      <c r="Z100" s="154">
        <v>69781891</v>
      </c>
    </row>
    <row r="101" spans="1:26" s="141" customFormat="1" ht="33.75">
      <c r="A101" s="65" t="s">
        <v>78</v>
      </c>
      <c r="B101" s="249" t="s">
        <v>396</v>
      </c>
      <c r="C101" s="250" t="s">
        <v>432</v>
      </c>
      <c r="D101" s="65" t="s">
        <v>11</v>
      </c>
      <c r="E101" s="65" t="s">
        <v>310</v>
      </c>
      <c r="F101" s="65"/>
      <c r="G101" s="65"/>
      <c r="H101" s="65"/>
      <c r="I101" s="65"/>
      <c r="J101" s="65"/>
      <c r="K101" s="65"/>
      <c r="L101" s="65" t="s">
        <v>116</v>
      </c>
      <c r="M101" s="65" t="s">
        <v>117</v>
      </c>
      <c r="N101" s="65" t="s">
        <v>118</v>
      </c>
      <c r="O101" s="249" t="s">
        <v>433</v>
      </c>
      <c r="P101" s="154">
        <v>682100000</v>
      </c>
      <c r="Q101" s="154">
        <v>0</v>
      </c>
      <c r="R101" s="154">
        <v>0</v>
      </c>
      <c r="S101" s="154">
        <v>682100000</v>
      </c>
      <c r="T101" s="154">
        <v>0</v>
      </c>
      <c r="U101" s="154">
        <v>421457538</v>
      </c>
      <c r="V101" s="154">
        <v>260642462</v>
      </c>
      <c r="W101" s="154">
        <v>316279408</v>
      </c>
      <c r="X101" s="154">
        <v>214377300</v>
      </c>
      <c r="Y101" s="154">
        <v>214377300</v>
      </c>
      <c r="Z101" s="154">
        <v>214377300</v>
      </c>
    </row>
    <row r="102" spans="1:26" s="141" customFormat="1" ht="45">
      <c r="A102" s="65" t="s">
        <v>78</v>
      </c>
      <c r="B102" s="249" t="s">
        <v>396</v>
      </c>
      <c r="C102" s="250" t="s">
        <v>330</v>
      </c>
      <c r="D102" s="65" t="s">
        <v>11</v>
      </c>
      <c r="E102" s="65" t="s">
        <v>313</v>
      </c>
      <c r="F102" s="65" t="s">
        <v>318</v>
      </c>
      <c r="G102" s="65" t="s">
        <v>310</v>
      </c>
      <c r="H102" s="65" t="s">
        <v>331</v>
      </c>
      <c r="I102" s="65"/>
      <c r="J102" s="65"/>
      <c r="K102" s="65"/>
      <c r="L102" s="65" t="s">
        <v>116</v>
      </c>
      <c r="M102" s="65" t="s">
        <v>117</v>
      </c>
      <c r="N102" s="65" t="s">
        <v>118</v>
      </c>
      <c r="O102" s="249" t="s">
        <v>352</v>
      </c>
      <c r="P102" s="154">
        <v>12400000</v>
      </c>
      <c r="Q102" s="154">
        <v>0</v>
      </c>
      <c r="R102" s="154">
        <v>0</v>
      </c>
      <c r="S102" s="154">
        <v>12400000</v>
      </c>
      <c r="T102" s="154">
        <v>0</v>
      </c>
      <c r="U102" s="154">
        <v>882589</v>
      </c>
      <c r="V102" s="154">
        <v>11517411</v>
      </c>
      <c r="W102" s="154">
        <v>882589</v>
      </c>
      <c r="X102" s="154">
        <v>882589</v>
      </c>
      <c r="Y102" s="154">
        <v>882589</v>
      </c>
      <c r="Z102" s="154">
        <v>882589</v>
      </c>
    </row>
    <row r="103" spans="1:26" s="141" customFormat="1" ht="33.75">
      <c r="A103" s="65" t="s">
        <v>78</v>
      </c>
      <c r="B103" s="249" t="s">
        <v>396</v>
      </c>
      <c r="C103" s="250" t="s">
        <v>298</v>
      </c>
      <c r="D103" s="65" t="s">
        <v>11</v>
      </c>
      <c r="E103" s="65" t="s">
        <v>332</v>
      </c>
      <c r="F103" s="65" t="s">
        <v>307</v>
      </c>
      <c r="G103" s="65"/>
      <c r="H103" s="65"/>
      <c r="I103" s="65"/>
      <c r="J103" s="65"/>
      <c r="K103" s="65"/>
      <c r="L103" s="65" t="s">
        <v>116</v>
      </c>
      <c r="M103" s="65" t="s">
        <v>117</v>
      </c>
      <c r="N103" s="65" t="s">
        <v>118</v>
      </c>
      <c r="O103" s="249" t="s">
        <v>333</v>
      </c>
      <c r="P103" s="154">
        <v>252500000</v>
      </c>
      <c r="Q103" s="154">
        <v>0</v>
      </c>
      <c r="R103" s="154">
        <v>0</v>
      </c>
      <c r="S103" s="154">
        <v>252500000</v>
      </c>
      <c r="T103" s="154">
        <v>0</v>
      </c>
      <c r="U103" s="154">
        <v>252500000</v>
      </c>
      <c r="V103" s="154">
        <v>0</v>
      </c>
      <c r="W103" s="154">
        <v>231983830</v>
      </c>
      <c r="X103" s="154">
        <v>231983830</v>
      </c>
      <c r="Y103" s="154">
        <v>231983830</v>
      </c>
      <c r="Z103" s="154">
        <v>231983830</v>
      </c>
    </row>
    <row r="104" spans="1:26" s="141" customFormat="1" ht="33.75">
      <c r="A104" s="65" t="s">
        <v>78</v>
      </c>
      <c r="B104" s="249" t="s">
        <v>396</v>
      </c>
      <c r="C104" s="250" t="s">
        <v>294</v>
      </c>
      <c r="D104" s="65" t="s">
        <v>11</v>
      </c>
      <c r="E104" s="65" t="s">
        <v>332</v>
      </c>
      <c r="F104" s="65" t="s">
        <v>318</v>
      </c>
      <c r="G104" s="65" t="s">
        <v>307</v>
      </c>
      <c r="H104" s="65"/>
      <c r="I104" s="65"/>
      <c r="J104" s="65"/>
      <c r="K104" s="65"/>
      <c r="L104" s="65" t="s">
        <v>116</v>
      </c>
      <c r="M104" s="65" t="s">
        <v>125</v>
      </c>
      <c r="N104" s="65" t="s">
        <v>126</v>
      </c>
      <c r="O104" s="249" t="s">
        <v>334</v>
      </c>
      <c r="P104" s="154">
        <v>8500000</v>
      </c>
      <c r="Q104" s="154">
        <v>0</v>
      </c>
      <c r="R104" s="154">
        <v>0</v>
      </c>
      <c r="S104" s="154">
        <v>8500000</v>
      </c>
      <c r="T104" s="154">
        <v>0</v>
      </c>
      <c r="U104" s="154">
        <v>0</v>
      </c>
      <c r="V104" s="154">
        <v>8500000</v>
      </c>
      <c r="W104" s="154">
        <v>0</v>
      </c>
      <c r="X104" s="154">
        <v>0</v>
      </c>
      <c r="Y104" s="154">
        <v>0</v>
      </c>
      <c r="Z104" s="154">
        <v>0</v>
      </c>
    </row>
    <row r="105" spans="1:26" s="141" customFormat="1" ht="33.75">
      <c r="A105" s="65" t="s">
        <v>78</v>
      </c>
      <c r="B105" s="249" t="s">
        <v>396</v>
      </c>
      <c r="C105" s="250" t="s">
        <v>436</v>
      </c>
      <c r="D105" s="65" t="s">
        <v>430</v>
      </c>
      <c r="E105" s="65" t="s">
        <v>117</v>
      </c>
      <c r="F105" s="65" t="s">
        <v>318</v>
      </c>
      <c r="G105" s="65" t="s">
        <v>307</v>
      </c>
      <c r="H105" s="65"/>
      <c r="I105" s="65"/>
      <c r="J105" s="65"/>
      <c r="K105" s="65"/>
      <c r="L105" s="65" t="s">
        <v>116</v>
      </c>
      <c r="M105" s="65" t="s">
        <v>125</v>
      </c>
      <c r="N105" s="65" t="s">
        <v>118</v>
      </c>
      <c r="O105" s="249" t="s">
        <v>437</v>
      </c>
      <c r="P105" s="154">
        <v>1418589654</v>
      </c>
      <c r="Q105" s="154">
        <v>0</v>
      </c>
      <c r="R105" s="154">
        <v>0</v>
      </c>
      <c r="S105" s="154">
        <v>1418589654</v>
      </c>
      <c r="T105" s="154">
        <v>0</v>
      </c>
      <c r="U105" s="154">
        <v>0</v>
      </c>
      <c r="V105" s="154">
        <v>1418589654</v>
      </c>
      <c r="W105" s="154">
        <v>0</v>
      </c>
      <c r="X105" s="154">
        <v>0</v>
      </c>
      <c r="Y105" s="154">
        <v>0</v>
      </c>
      <c r="Z105" s="154">
        <v>0</v>
      </c>
    </row>
    <row r="106" spans="1:26" s="141" customFormat="1" ht="22.5">
      <c r="A106" s="65" t="s">
        <v>76</v>
      </c>
      <c r="B106" s="249" t="s">
        <v>397</v>
      </c>
      <c r="C106" s="250" t="s">
        <v>306</v>
      </c>
      <c r="D106" s="65" t="s">
        <v>11</v>
      </c>
      <c r="E106" s="65" t="s">
        <v>307</v>
      </c>
      <c r="F106" s="65" t="s">
        <v>307</v>
      </c>
      <c r="G106" s="65" t="s">
        <v>307</v>
      </c>
      <c r="H106" s="65"/>
      <c r="I106" s="65"/>
      <c r="J106" s="65"/>
      <c r="K106" s="65"/>
      <c r="L106" s="65" t="s">
        <v>116</v>
      </c>
      <c r="M106" s="65" t="s">
        <v>117</v>
      </c>
      <c r="N106" s="65" t="s">
        <v>118</v>
      </c>
      <c r="O106" s="249" t="s">
        <v>308</v>
      </c>
      <c r="P106" s="154">
        <v>3882000000</v>
      </c>
      <c r="Q106" s="154">
        <v>0</v>
      </c>
      <c r="R106" s="154">
        <v>0</v>
      </c>
      <c r="S106" s="154">
        <v>3882000000</v>
      </c>
      <c r="T106" s="154">
        <v>0</v>
      </c>
      <c r="U106" s="154">
        <v>757149211</v>
      </c>
      <c r="V106" s="154">
        <v>3124850789</v>
      </c>
      <c r="W106" s="154">
        <v>757149211</v>
      </c>
      <c r="X106" s="154">
        <v>757149211</v>
      </c>
      <c r="Y106" s="154">
        <v>757149211</v>
      </c>
      <c r="Z106" s="154">
        <v>757149211</v>
      </c>
    </row>
    <row r="107" spans="1:26" s="141" customFormat="1" ht="22.5">
      <c r="A107" s="65" t="s">
        <v>76</v>
      </c>
      <c r="B107" s="249" t="s">
        <v>397</v>
      </c>
      <c r="C107" s="250" t="s">
        <v>309</v>
      </c>
      <c r="D107" s="65" t="s">
        <v>11</v>
      </c>
      <c r="E107" s="65" t="s">
        <v>307</v>
      </c>
      <c r="F107" s="65" t="s">
        <v>307</v>
      </c>
      <c r="G107" s="65" t="s">
        <v>310</v>
      </c>
      <c r="H107" s="65"/>
      <c r="I107" s="65"/>
      <c r="J107" s="65"/>
      <c r="K107" s="65"/>
      <c r="L107" s="65" t="s">
        <v>116</v>
      </c>
      <c r="M107" s="65" t="s">
        <v>117</v>
      </c>
      <c r="N107" s="65" t="s">
        <v>118</v>
      </c>
      <c r="O107" s="249" t="s">
        <v>311</v>
      </c>
      <c r="P107" s="154">
        <v>975000000</v>
      </c>
      <c r="Q107" s="154">
        <v>0</v>
      </c>
      <c r="R107" s="154">
        <v>0</v>
      </c>
      <c r="S107" s="154">
        <v>975000000</v>
      </c>
      <c r="T107" s="154">
        <v>0</v>
      </c>
      <c r="U107" s="154">
        <v>235071084</v>
      </c>
      <c r="V107" s="154">
        <v>739928916</v>
      </c>
      <c r="W107" s="154">
        <v>235071084</v>
      </c>
      <c r="X107" s="154">
        <v>235071084</v>
      </c>
      <c r="Y107" s="154">
        <v>235071084</v>
      </c>
      <c r="Z107" s="154">
        <v>235071084</v>
      </c>
    </row>
    <row r="108" spans="1:26" s="141" customFormat="1" ht="33.75">
      <c r="A108" s="65" t="s">
        <v>76</v>
      </c>
      <c r="B108" s="249" t="s">
        <v>397</v>
      </c>
      <c r="C108" s="250" t="s">
        <v>312</v>
      </c>
      <c r="D108" s="65" t="s">
        <v>11</v>
      </c>
      <c r="E108" s="65" t="s">
        <v>307</v>
      </c>
      <c r="F108" s="65" t="s">
        <v>307</v>
      </c>
      <c r="G108" s="65" t="s">
        <v>313</v>
      </c>
      <c r="H108" s="65"/>
      <c r="I108" s="65"/>
      <c r="J108" s="65"/>
      <c r="K108" s="65"/>
      <c r="L108" s="65" t="s">
        <v>116</v>
      </c>
      <c r="M108" s="65" t="s">
        <v>117</v>
      </c>
      <c r="N108" s="65" t="s">
        <v>118</v>
      </c>
      <c r="O108" s="249" t="s">
        <v>314</v>
      </c>
      <c r="P108" s="154">
        <v>109000000</v>
      </c>
      <c r="Q108" s="154">
        <v>0</v>
      </c>
      <c r="R108" s="154">
        <v>0</v>
      </c>
      <c r="S108" s="154">
        <v>109000000</v>
      </c>
      <c r="T108" s="154">
        <v>0</v>
      </c>
      <c r="U108" s="154">
        <v>17779705</v>
      </c>
      <c r="V108" s="154">
        <v>91220295</v>
      </c>
      <c r="W108" s="154">
        <v>17779705</v>
      </c>
      <c r="X108" s="154">
        <v>17779705</v>
      </c>
      <c r="Y108" s="154">
        <v>17779705</v>
      </c>
      <c r="Z108" s="154">
        <v>17779705</v>
      </c>
    </row>
    <row r="109" spans="1:26" s="141" customFormat="1" ht="22.5">
      <c r="A109" s="65" t="s">
        <v>76</v>
      </c>
      <c r="B109" s="249" t="s">
        <v>397</v>
      </c>
      <c r="C109" s="250" t="s">
        <v>432</v>
      </c>
      <c r="D109" s="65" t="s">
        <v>11</v>
      </c>
      <c r="E109" s="65" t="s">
        <v>310</v>
      </c>
      <c r="F109" s="65"/>
      <c r="G109" s="65"/>
      <c r="H109" s="65"/>
      <c r="I109" s="65"/>
      <c r="J109" s="65"/>
      <c r="K109" s="65"/>
      <c r="L109" s="65" t="s">
        <v>116</v>
      </c>
      <c r="M109" s="65" t="s">
        <v>117</v>
      </c>
      <c r="N109" s="65" t="s">
        <v>118</v>
      </c>
      <c r="O109" s="249" t="s">
        <v>433</v>
      </c>
      <c r="P109" s="154">
        <v>226000000</v>
      </c>
      <c r="Q109" s="154">
        <v>0</v>
      </c>
      <c r="R109" s="154">
        <v>0</v>
      </c>
      <c r="S109" s="154">
        <v>226000000</v>
      </c>
      <c r="T109" s="154">
        <v>0</v>
      </c>
      <c r="U109" s="154">
        <v>225999998</v>
      </c>
      <c r="V109" s="154">
        <v>2</v>
      </c>
      <c r="W109" s="154">
        <v>59665073.710000001</v>
      </c>
      <c r="X109" s="154">
        <v>59665073.710000001</v>
      </c>
      <c r="Y109" s="154">
        <v>59665073.710000001</v>
      </c>
      <c r="Z109" s="154">
        <v>59665073.710000001</v>
      </c>
    </row>
    <row r="110" spans="1:26" s="141" customFormat="1" ht="22.5">
      <c r="A110" s="65" t="s">
        <v>76</v>
      </c>
      <c r="B110" s="249" t="s">
        <v>397</v>
      </c>
      <c r="C110" s="250" t="s">
        <v>321</v>
      </c>
      <c r="D110" s="65" t="s">
        <v>11</v>
      </c>
      <c r="E110" s="65" t="s">
        <v>313</v>
      </c>
      <c r="F110" s="65" t="s">
        <v>318</v>
      </c>
      <c r="G110" s="65" t="s">
        <v>310</v>
      </c>
      <c r="H110" s="65" t="s">
        <v>322</v>
      </c>
      <c r="I110" s="65"/>
      <c r="J110" s="65"/>
      <c r="K110" s="65"/>
      <c r="L110" s="65" t="s">
        <v>116</v>
      </c>
      <c r="M110" s="65" t="s">
        <v>117</v>
      </c>
      <c r="N110" s="65" t="s">
        <v>118</v>
      </c>
      <c r="O110" s="249" t="s">
        <v>323</v>
      </c>
      <c r="P110" s="154">
        <v>326000000</v>
      </c>
      <c r="Q110" s="154">
        <v>0</v>
      </c>
      <c r="R110" s="154">
        <v>0</v>
      </c>
      <c r="S110" s="154">
        <v>326000000</v>
      </c>
      <c r="T110" s="154">
        <v>0</v>
      </c>
      <c r="U110" s="154">
        <v>55435650</v>
      </c>
      <c r="V110" s="154">
        <v>270564350</v>
      </c>
      <c r="W110" s="154">
        <v>55435650</v>
      </c>
      <c r="X110" s="154">
        <v>55435650</v>
      </c>
      <c r="Y110" s="154">
        <v>55435650</v>
      </c>
      <c r="Z110" s="154">
        <v>55435650</v>
      </c>
    </row>
    <row r="111" spans="1:26" s="141" customFormat="1" ht="22.5">
      <c r="A111" s="65" t="s">
        <v>76</v>
      </c>
      <c r="B111" s="249" t="s">
        <v>397</v>
      </c>
      <c r="C111" s="250" t="s">
        <v>298</v>
      </c>
      <c r="D111" s="65" t="s">
        <v>11</v>
      </c>
      <c r="E111" s="65" t="s">
        <v>332</v>
      </c>
      <c r="F111" s="65" t="s">
        <v>307</v>
      </c>
      <c r="G111" s="65"/>
      <c r="H111" s="65"/>
      <c r="I111" s="65"/>
      <c r="J111" s="65"/>
      <c r="K111" s="65"/>
      <c r="L111" s="65" t="s">
        <v>116</v>
      </c>
      <c r="M111" s="65" t="s">
        <v>117</v>
      </c>
      <c r="N111" s="65" t="s">
        <v>118</v>
      </c>
      <c r="O111" s="249" t="s">
        <v>333</v>
      </c>
      <c r="P111" s="154">
        <v>3000000</v>
      </c>
      <c r="Q111" s="154">
        <v>0</v>
      </c>
      <c r="R111" s="154">
        <v>0</v>
      </c>
      <c r="S111" s="154">
        <v>3000000</v>
      </c>
      <c r="T111" s="154">
        <v>0</v>
      </c>
      <c r="U111" s="154">
        <v>0</v>
      </c>
      <c r="V111" s="154">
        <v>3000000</v>
      </c>
      <c r="W111" s="154">
        <v>0</v>
      </c>
      <c r="X111" s="154">
        <v>0</v>
      </c>
      <c r="Y111" s="154">
        <v>0</v>
      </c>
      <c r="Z111" s="154">
        <v>0</v>
      </c>
    </row>
    <row r="112" spans="1:26" s="141" customFormat="1" ht="22.5">
      <c r="A112" s="65" t="s">
        <v>76</v>
      </c>
      <c r="B112" s="249" t="s">
        <v>397</v>
      </c>
      <c r="C112" s="250" t="s">
        <v>294</v>
      </c>
      <c r="D112" s="65" t="s">
        <v>11</v>
      </c>
      <c r="E112" s="65" t="s">
        <v>332</v>
      </c>
      <c r="F112" s="65" t="s">
        <v>318</v>
      </c>
      <c r="G112" s="65" t="s">
        <v>307</v>
      </c>
      <c r="H112" s="65"/>
      <c r="I112" s="65"/>
      <c r="J112" s="65"/>
      <c r="K112" s="65"/>
      <c r="L112" s="65" t="s">
        <v>116</v>
      </c>
      <c r="M112" s="65" t="s">
        <v>125</v>
      </c>
      <c r="N112" s="65" t="s">
        <v>126</v>
      </c>
      <c r="O112" s="249" t="s">
        <v>334</v>
      </c>
      <c r="P112" s="154">
        <v>13000000</v>
      </c>
      <c r="Q112" s="154">
        <v>0</v>
      </c>
      <c r="R112" s="154">
        <v>0</v>
      </c>
      <c r="S112" s="154">
        <v>13000000</v>
      </c>
      <c r="T112" s="154">
        <v>0</v>
      </c>
      <c r="U112" s="154">
        <v>0</v>
      </c>
      <c r="V112" s="154">
        <v>13000000</v>
      </c>
      <c r="W112" s="154">
        <v>0</v>
      </c>
      <c r="X112" s="154">
        <v>0</v>
      </c>
      <c r="Y112" s="154">
        <v>0</v>
      </c>
      <c r="Z112" s="154">
        <v>0</v>
      </c>
    </row>
    <row r="113" spans="1:26" s="141" customFormat="1" ht="22.5">
      <c r="A113" s="65" t="s">
        <v>76</v>
      </c>
      <c r="B113" s="249" t="s">
        <v>397</v>
      </c>
      <c r="C113" s="250" t="s">
        <v>436</v>
      </c>
      <c r="D113" s="65" t="s">
        <v>430</v>
      </c>
      <c r="E113" s="65" t="s">
        <v>117</v>
      </c>
      <c r="F113" s="65" t="s">
        <v>318</v>
      </c>
      <c r="G113" s="65" t="s">
        <v>307</v>
      </c>
      <c r="H113" s="65"/>
      <c r="I113" s="65"/>
      <c r="J113" s="65"/>
      <c r="K113" s="65"/>
      <c r="L113" s="65" t="s">
        <v>116</v>
      </c>
      <c r="M113" s="65" t="s">
        <v>125</v>
      </c>
      <c r="N113" s="65" t="s">
        <v>118</v>
      </c>
      <c r="O113" s="249" t="s">
        <v>437</v>
      </c>
      <c r="P113" s="154">
        <v>217614805</v>
      </c>
      <c r="Q113" s="154">
        <v>0</v>
      </c>
      <c r="R113" s="154">
        <v>0</v>
      </c>
      <c r="S113" s="154">
        <v>217614805</v>
      </c>
      <c r="T113" s="154">
        <v>0</v>
      </c>
      <c r="U113" s="154">
        <v>0</v>
      </c>
      <c r="V113" s="154">
        <v>217614805</v>
      </c>
      <c r="W113" s="154">
        <v>0</v>
      </c>
      <c r="X113" s="154">
        <v>0</v>
      </c>
      <c r="Y113" s="154">
        <v>0</v>
      </c>
      <c r="Z113" s="154">
        <v>0</v>
      </c>
    </row>
    <row r="114" spans="1:26" s="141" customFormat="1" ht="33.75">
      <c r="A114" s="65" t="s">
        <v>72</v>
      </c>
      <c r="B114" s="249" t="s">
        <v>398</v>
      </c>
      <c r="C114" s="250" t="s">
        <v>306</v>
      </c>
      <c r="D114" s="65" t="s">
        <v>11</v>
      </c>
      <c r="E114" s="65" t="s">
        <v>307</v>
      </c>
      <c r="F114" s="65" t="s">
        <v>307</v>
      </c>
      <c r="G114" s="65" t="s">
        <v>307</v>
      </c>
      <c r="H114" s="65"/>
      <c r="I114" s="65"/>
      <c r="J114" s="65"/>
      <c r="K114" s="65"/>
      <c r="L114" s="65" t="s">
        <v>116</v>
      </c>
      <c r="M114" s="65" t="s">
        <v>117</v>
      </c>
      <c r="N114" s="65" t="s">
        <v>118</v>
      </c>
      <c r="O114" s="249" t="s">
        <v>308</v>
      </c>
      <c r="P114" s="154">
        <v>2686800000</v>
      </c>
      <c r="Q114" s="154">
        <v>0</v>
      </c>
      <c r="R114" s="154">
        <v>0</v>
      </c>
      <c r="S114" s="154">
        <v>2686800000</v>
      </c>
      <c r="T114" s="154">
        <v>0</v>
      </c>
      <c r="U114" s="154">
        <v>2686800000</v>
      </c>
      <c r="V114" s="154">
        <v>0</v>
      </c>
      <c r="W114" s="154">
        <v>805219794</v>
      </c>
      <c r="X114" s="154">
        <v>805219794</v>
      </c>
      <c r="Y114" s="154">
        <v>805219794</v>
      </c>
      <c r="Z114" s="154">
        <v>805219794</v>
      </c>
    </row>
    <row r="115" spans="1:26" s="141" customFormat="1" ht="33.75">
      <c r="A115" s="65" t="s">
        <v>72</v>
      </c>
      <c r="B115" s="249" t="s">
        <v>398</v>
      </c>
      <c r="C115" s="250" t="s">
        <v>309</v>
      </c>
      <c r="D115" s="65" t="s">
        <v>11</v>
      </c>
      <c r="E115" s="65" t="s">
        <v>307</v>
      </c>
      <c r="F115" s="65" t="s">
        <v>307</v>
      </c>
      <c r="G115" s="65" t="s">
        <v>310</v>
      </c>
      <c r="H115" s="65"/>
      <c r="I115" s="65"/>
      <c r="J115" s="65"/>
      <c r="K115" s="65"/>
      <c r="L115" s="65" t="s">
        <v>116</v>
      </c>
      <c r="M115" s="65" t="s">
        <v>117</v>
      </c>
      <c r="N115" s="65" t="s">
        <v>118</v>
      </c>
      <c r="O115" s="249" t="s">
        <v>311</v>
      </c>
      <c r="P115" s="154">
        <v>742900000</v>
      </c>
      <c r="Q115" s="154">
        <v>0</v>
      </c>
      <c r="R115" s="154">
        <v>0</v>
      </c>
      <c r="S115" s="154">
        <v>742900000</v>
      </c>
      <c r="T115" s="154">
        <v>0</v>
      </c>
      <c r="U115" s="154">
        <v>742900000</v>
      </c>
      <c r="V115" s="154">
        <v>0</v>
      </c>
      <c r="W115" s="154">
        <v>253690677</v>
      </c>
      <c r="X115" s="154">
        <v>253690677</v>
      </c>
      <c r="Y115" s="154">
        <v>253690677</v>
      </c>
      <c r="Z115" s="154">
        <v>253690677</v>
      </c>
    </row>
    <row r="116" spans="1:26" s="141" customFormat="1" ht="33.75">
      <c r="A116" s="65" t="s">
        <v>72</v>
      </c>
      <c r="B116" s="249" t="s">
        <v>398</v>
      </c>
      <c r="C116" s="250" t="s">
        <v>312</v>
      </c>
      <c r="D116" s="65" t="s">
        <v>11</v>
      </c>
      <c r="E116" s="65" t="s">
        <v>307</v>
      </c>
      <c r="F116" s="65" t="s">
        <v>307</v>
      </c>
      <c r="G116" s="65" t="s">
        <v>313</v>
      </c>
      <c r="H116" s="65"/>
      <c r="I116" s="65"/>
      <c r="J116" s="65"/>
      <c r="K116" s="65"/>
      <c r="L116" s="65" t="s">
        <v>116</v>
      </c>
      <c r="M116" s="65" t="s">
        <v>117</v>
      </c>
      <c r="N116" s="65" t="s">
        <v>118</v>
      </c>
      <c r="O116" s="249" t="s">
        <v>314</v>
      </c>
      <c r="P116" s="154">
        <v>464600000</v>
      </c>
      <c r="Q116" s="154">
        <v>0</v>
      </c>
      <c r="R116" s="154">
        <v>0</v>
      </c>
      <c r="S116" s="154">
        <v>464600000</v>
      </c>
      <c r="T116" s="154">
        <v>0</v>
      </c>
      <c r="U116" s="154">
        <v>464600000</v>
      </c>
      <c r="V116" s="154">
        <v>0</v>
      </c>
      <c r="W116" s="154">
        <v>82422598</v>
      </c>
      <c r="X116" s="154">
        <v>82422598</v>
      </c>
      <c r="Y116" s="154">
        <v>82422598</v>
      </c>
      <c r="Z116" s="154">
        <v>82422598</v>
      </c>
    </row>
    <row r="117" spans="1:26" s="141" customFormat="1" ht="33.75">
      <c r="A117" s="65" t="s">
        <v>72</v>
      </c>
      <c r="B117" s="249" t="s">
        <v>398</v>
      </c>
      <c r="C117" s="250" t="s">
        <v>432</v>
      </c>
      <c r="D117" s="65" t="s">
        <v>11</v>
      </c>
      <c r="E117" s="65" t="s">
        <v>310</v>
      </c>
      <c r="F117" s="65"/>
      <c r="G117" s="65"/>
      <c r="H117" s="65"/>
      <c r="I117" s="65"/>
      <c r="J117" s="65"/>
      <c r="K117" s="65"/>
      <c r="L117" s="65" t="s">
        <v>116</v>
      </c>
      <c r="M117" s="65" t="s">
        <v>117</v>
      </c>
      <c r="N117" s="65" t="s">
        <v>118</v>
      </c>
      <c r="O117" s="249" t="s">
        <v>433</v>
      </c>
      <c r="P117" s="154">
        <v>69900000</v>
      </c>
      <c r="Q117" s="154">
        <v>0</v>
      </c>
      <c r="R117" s="154">
        <v>0</v>
      </c>
      <c r="S117" s="154">
        <v>69900000</v>
      </c>
      <c r="T117" s="154">
        <v>0</v>
      </c>
      <c r="U117" s="154">
        <v>69900000</v>
      </c>
      <c r="V117" s="154">
        <v>0</v>
      </c>
      <c r="W117" s="154">
        <v>21684004</v>
      </c>
      <c r="X117" s="154">
        <v>21684004</v>
      </c>
      <c r="Y117" s="154">
        <v>21684004</v>
      </c>
      <c r="Z117" s="154">
        <v>21684004</v>
      </c>
    </row>
    <row r="118" spans="1:26" s="141" customFormat="1" ht="33.75">
      <c r="A118" s="65" t="s">
        <v>72</v>
      </c>
      <c r="B118" s="249" t="s">
        <v>398</v>
      </c>
      <c r="C118" s="250" t="s">
        <v>294</v>
      </c>
      <c r="D118" s="65" t="s">
        <v>11</v>
      </c>
      <c r="E118" s="65" t="s">
        <v>332</v>
      </c>
      <c r="F118" s="65" t="s">
        <v>318</v>
      </c>
      <c r="G118" s="65" t="s">
        <v>307</v>
      </c>
      <c r="H118" s="65"/>
      <c r="I118" s="65"/>
      <c r="J118" s="65"/>
      <c r="K118" s="65"/>
      <c r="L118" s="65" t="s">
        <v>116</v>
      </c>
      <c r="M118" s="65" t="s">
        <v>125</v>
      </c>
      <c r="N118" s="65" t="s">
        <v>126</v>
      </c>
      <c r="O118" s="249" t="s">
        <v>334</v>
      </c>
      <c r="P118" s="154">
        <v>20900000</v>
      </c>
      <c r="Q118" s="154">
        <v>0</v>
      </c>
      <c r="R118" s="154">
        <v>0</v>
      </c>
      <c r="S118" s="154">
        <v>20900000</v>
      </c>
      <c r="T118" s="154">
        <v>0</v>
      </c>
      <c r="U118" s="154">
        <v>0</v>
      </c>
      <c r="V118" s="154">
        <v>20900000</v>
      </c>
      <c r="W118" s="154">
        <v>0</v>
      </c>
      <c r="X118" s="154">
        <v>0</v>
      </c>
      <c r="Y118" s="154">
        <v>0</v>
      </c>
      <c r="Z118" s="154">
        <v>0</v>
      </c>
    </row>
    <row r="119" spans="1:26" s="141" customFormat="1" ht="33.75">
      <c r="A119" s="65" t="s">
        <v>72</v>
      </c>
      <c r="B119" s="249" t="s">
        <v>398</v>
      </c>
      <c r="C119" s="250" t="s">
        <v>436</v>
      </c>
      <c r="D119" s="65" t="s">
        <v>430</v>
      </c>
      <c r="E119" s="65" t="s">
        <v>117</v>
      </c>
      <c r="F119" s="65" t="s">
        <v>318</v>
      </c>
      <c r="G119" s="65" t="s">
        <v>307</v>
      </c>
      <c r="H119" s="65"/>
      <c r="I119" s="65"/>
      <c r="J119" s="65"/>
      <c r="K119" s="65"/>
      <c r="L119" s="65" t="s">
        <v>116</v>
      </c>
      <c r="M119" s="65" t="s">
        <v>125</v>
      </c>
      <c r="N119" s="65" t="s">
        <v>118</v>
      </c>
      <c r="O119" s="249" t="s">
        <v>437</v>
      </c>
      <c r="P119" s="154">
        <v>1210948940</v>
      </c>
      <c r="Q119" s="154">
        <v>0</v>
      </c>
      <c r="R119" s="154">
        <v>0</v>
      </c>
      <c r="S119" s="154">
        <v>1210948940</v>
      </c>
      <c r="T119" s="154">
        <v>0</v>
      </c>
      <c r="U119" s="154">
        <v>0</v>
      </c>
      <c r="V119" s="154">
        <v>1210948940</v>
      </c>
      <c r="W119" s="154">
        <v>0</v>
      </c>
      <c r="X119" s="154">
        <v>0</v>
      </c>
      <c r="Y119" s="154">
        <v>0</v>
      </c>
      <c r="Z119" s="154">
        <v>0</v>
      </c>
    </row>
    <row r="120" spans="1:26" s="141" customFormat="1" ht="33.75">
      <c r="A120" s="65" t="s">
        <v>64</v>
      </c>
      <c r="B120" s="249" t="s">
        <v>399</v>
      </c>
      <c r="C120" s="250" t="s">
        <v>306</v>
      </c>
      <c r="D120" s="65" t="s">
        <v>11</v>
      </c>
      <c r="E120" s="65" t="s">
        <v>307</v>
      </c>
      <c r="F120" s="65" t="s">
        <v>307</v>
      </c>
      <c r="G120" s="65" t="s">
        <v>307</v>
      </c>
      <c r="H120" s="65"/>
      <c r="I120" s="65"/>
      <c r="J120" s="65"/>
      <c r="K120" s="65"/>
      <c r="L120" s="65" t="s">
        <v>116</v>
      </c>
      <c r="M120" s="65" t="s">
        <v>117</v>
      </c>
      <c r="N120" s="65" t="s">
        <v>118</v>
      </c>
      <c r="O120" s="249" t="s">
        <v>308</v>
      </c>
      <c r="P120" s="154">
        <v>2949000000</v>
      </c>
      <c r="Q120" s="154">
        <v>0</v>
      </c>
      <c r="R120" s="154">
        <v>0</v>
      </c>
      <c r="S120" s="154">
        <v>2949000000</v>
      </c>
      <c r="T120" s="154">
        <v>0</v>
      </c>
      <c r="U120" s="154">
        <v>2949000000</v>
      </c>
      <c r="V120" s="154">
        <v>0</v>
      </c>
      <c r="W120" s="154">
        <v>552153982</v>
      </c>
      <c r="X120" s="154">
        <v>552153982</v>
      </c>
      <c r="Y120" s="154">
        <v>552153982</v>
      </c>
      <c r="Z120" s="154">
        <v>552153982</v>
      </c>
    </row>
    <row r="121" spans="1:26" s="141" customFormat="1" ht="33.75">
      <c r="A121" s="65" t="s">
        <v>64</v>
      </c>
      <c r="B121" s="249" t="s">
        <v>399</v>
      </c>
      <c r="C121" s="250" t="s">
        <v>309</v>
      </c>
      <c r="D121" s="65" t="s">
        <v>11</v>
      </c>
      <c r="E121" s="65" t="s">
        <v>307</v>
      </c>
      <c r="F121" s="65" t="s">
        <v>307</v>
      </c>
      <c r="G121" s="65" t="s">
        <v>310</v>
      </c>
      <c r="H121" s="65"/>
      <c r="I121" s="65"/>
      <c r="J121" s="65"/>
      <c r="K121" s="65"/>
      <c r="L121" s="65" t="s">
        <v>116</v>
      </c>
      <c r="M121" s="65" t="s">
        <v>117</v>
      </c>
      <c r="N121" s="65" t="s">
        <v>118</v>
      </c>
      <c r="O121" s="249" t="s">
        <v>311</v>
      </c>
      <c r="P121" s="154">
        <v>894000000</v>
      </c>
      <c r="Q121" s="154">
        <v>0</v>
      </c>
      <c r="R121" s="154">
        <v>0</v>
      </c>
      <c r="S121" s="154">
        <v>894000000</v>
      </c>
      <c r="T121" s="154">
        <v>0</v>
      </c>
      <c r="U121" s="154">
        <v>894000000</v>
      </c>
      <c r="V121" s="154">
        <v>0</v>
      </c>
      <c r="W121" s="154">
        <v>224355144</v>
      </c>
      <c r="X121" s="154">
        <v>224355144</v>
      </c>
      <c r="Y121" s="154">
        <v>224355144</v>
      </c>
      <c r="Z121" s="154">
        <v>224355144</v>
      </c>
    </row>
    <row r="122" spans="1:26" s="141" customFormat="1" ht="33.75">
      <c r="A122" s="65" t="s">
        <v>64</v>
      </c>
      <c r="B122" s="249" t="s">
        <v>399</v>
      </c>
      <c r="C122" s="250" t="s">
        <v>312</v>
      </c>
      <c r="D122" s="65" t="s">
        <v>11</v>
      </c>
      <c r="E122" s="65" t="s">
        <v>307</v>
      </c>
      <c r="F122" s="65" t="s">
        <v>307</v>
      </c>
      <c r="G122" s="65" t="s">
        <v>313</v>
      </c>
      <c r="H122" s="65"/>
      <c r="I122" s="65"/>
      <c r="J122" s="65"/>
      <c r="K122" s="65"/>
      <c r="L122" s="65" t="s">
        <v>116</v>
      </c>
      <c r="M122" s="65" t="s">
        <v>117</v>
      </c>
      <c r="N122" s="65" t="s">
        <v>118</v>
      </c>
      <c r="O122" s="249" t="s">
        <v>314</v>
      </c>
      <c r="P122" s="154">
        <v>271000000</v>
      </c>
      <c r="Q122" s="154">
        <v>0</v>
      </c>
      <c r="R122" s="154">
        <v>0</v>
      </c>
      <c r="S122" s="154">
        <v>271000000</v>
      </c>
      <c r="T122" s="154">
        <v>0</v>
      </c>
      <c r="U122" s="154">
        <v>271000000</v>
      </c>
      <c r="V122" s="154">
        <v>0</v>
      </c>
      <c r="W122" s="154">
        <v>53934032</v>
      </c>
      <c r="X122" s="154">
        <v>53934032</v>
      </c>
      <c r="Y122" s="154">
        <v>53934032</v>
      </c>
      <c r="Z122" s="154">
        <v>53934032</v>
      </c>
    </row>
    <row r="123" spans="1:26" s="141" customFormat="1" ht="33.75">
      <c r="A123" s="65" t="s">
        <v>64</v>
      </c>
      <c r="B123" s="249" t="s">
        <v>399</v>
      </c>
      <c r="C123" s="250" t="s">
        <v>432</v>
      </c>
      <c r="D123" s="65" t="s">
        <v>11</v>
      </c>
      <c r="E123" s="65" t="s">
        <v>310</v>
      </c>
      <c r="F123" s="65"/>
      <c r="G123" s="65"/>
      <c r="H123" s="65"/>
      <c r="I123" s="65"/>
      <c r="J123" s="65"/>
      <c r="K123" s="65"/>
      <c r="L123" s="65" t="s">
        <v>116</v>
      </c>
      <c r="M123" s="65" t="s">
        <v>117</v>
      </c>
      <c r="N123" s="65" t="s">
        <v>118</v>
      </c>
      <c r="O123" s="249" t="s">
        <v>433</v>
      </c>
      <c r="P123" s="154">
        <v>39000000</v>
      </c>
      <c r="Q123" s="154">
        <v>0</v>
      </c>
      <c r="R123" s="154">
        <v>0</v>
      </c>
      <c r="S123" s="154">
        <v>39000000</v>
      </c>
      <c r="T123" s="154">
        <v>0</v>
      </c>
      <c r="U123" s="154">
        <v>39000000</v>
      </c>
      <c r="V123" s="154">
        <v>0</v>
      </c>
      <c r="W123" s="154">
        <v>39000000</v>
      </c>
      <c r="X123" s="154">
        <v>0</v>
      </c>
      <c r="Y123" s="154">
        <v>0</v>
      </c>
      <c r="Z123" s="154">
        <v>0</v>
      </c>
    </row>
    <row r="124" spans="1:26" s="141" customFormat="1" ht="33.75">
      <c r="A124" s="65" t="s">
        <v>64</v>
      </c>
      <c r="B124" s="249" t="s">
        <v>399</v>
      </c>
      <c r="C124" s="250" t="s">
        <v>294</v>
      </c>
      <c r="D124" s="65" t="s">
        <v>11</v>
      </c>
      <c r="E124" s="65" t="s">
        <v>332</v>
      </c>
      <c r="F124" s="65" t="s">
        <v>318</v>
      </c>
      <c r="G124" s="65" t="s">
        <v>307</v>
      </c>
      <c r="H124" s="65"/>
      <c r="I124" s="65"/>
      <c r="J124" s="65"/>
      <c r="K124" s="65"/>
      <c r="L124" s="65" t="s">
        <v>116</v>
      </c>
      <c r="M124" s="65" t="s">
        <v>125</v>
      </c>
      <c r="N124" s="65" t="s">
        <v>126</v>
      </c>
      <c r="O124" s="249" t="s">
        <v>334</v>
      </c>
      <c r="P124" s="154">
        <v>11000000</v>
      </c>
      <c r="Q124" s="154">
        <v>0</v>
      </c>
      <c r="R124" s="154">
        <v>0</v>
      </c>
      <c r="S124" s="154">
        <v>11000000</v>
      </c>
      <c r="T124" s="154">
        <v>0</v>
      </c>
      <c r="U124" s="154">
        <v>0</v>
      </c>
      <c r="V124" s="154">
        <v>11000000</v>
      </c>
      <c r="W124" s="154">
        <v>0</v>
      </c>
      <c r="X124" s="154">
        <v>0</v>
      </c>
      <c r="Y124" s="154">
        <v>0</v>
      </c>
      <c r="Z124" s="154">
        <v>0</v>
      </c>
    </row>
    <row r="125" spans="1:26" s="141" customFormat="1" ht="33.75">
      <c r="A125" s="65" t="s">
        <v>64</v>
      </c>
      <c r="B125" s="249" t="s">
        <v>399</v>
      </c>
      <c r="C125" s="250" t="s">
        <v>436</v>
      </c>
      <c r="D125" s="65" t="s">
        <v>430</v>
      </c>
      <c r="E125" s="65" t="s">
        <v>117</v>
      </c>
      <c r="F125" s="65" t="s">
        <v>318</v>
      </c>
      <c r="G125" s="65" t="s">
        <v>307</v>
      </c>
      <c r="H125" s="65"/>
      <c r="I125" s="65"/>
      <c r="J125" s="65"/>
      <c r="K125" s="65"/>
      <c r="L125" s="65" t="s">
        <v>116</v>
      </c>
      <c r="M125" s="65" t="s">
        <v>125</v>
      </c>
      <c r="N125" s="65" t="s">
        <v>118</v>
      </c>
      <c r="O125" s="249" t="s">
        <v>437</v>
      </c>
      <c r="P125" s="154">
        <v>283705576</v>
      </c>
      <c r="Q125" s="154">
        <v>0</v>
      </c>
      <c r="R125" s="154">
        <v>0</v>
      </c>
      <c r="S125" s="154">
        <v>283705576</v>
      </c>
      <c r="T125" s="154">
        <v>0</v>
      </c>
      <c r="U125" s="154">
        <v>0</v>
      </c>
      <c r="V125" s="154">
        <v>283705576</v>
      </c>
      <c r="W125" s="154">
        <v>0</v>
      </c>
      <c r="X125" s="154">
        <v>0</v>
      </c>
      <c r="Y125" s="154">
        <v>0</v>
      </c>
      <c r="Z125" s="154">
        <v>0</v>
      </c>
    </row>
    <row r="126" spans="1:26" s="141" customFormat="1" ht="45">
      <c r="A126" s="65" t="s">
        <v>57</v>
      </c>
      <c r="B126" s="249" t="s">
        <v>400</v>
      </c>
      <c r="C126" s="250" t="s">
        <v>306</v>
      </c>
      <c r="D126" s="65" t="s">
        <v>11</v>
      </c>
      <c r="E126" s="65" t="s">
        <v>307</v>
      </c>
      <c r="F126" s="65" t="s">
        <v>307</v>
      </c>
      <c r="G126" s="65" t="s">
        <v>307</v>
      </c>
      <c r="H126" s="65"/>
      <c r="I126" s="65"/>
      <c r="J126" s="65"/>
      <c r="K126" s="65"/>
      <c r="L126" s="65" t="s">
        <v>116</v>
      </c>
      <c r="M126" s="65" t="s">
        <v>117</v>
      </c>
      <c r="N126" s="65" t="s">
        <v>118</v>
      </c>
      <c r="O126" s="249" t="s">
        <v>308</v>
      </c>
      <c r="P126" s="154">
        <v>1667600000</v>
      </c>
      <c r="Q126" s="154">
        <v>0</v>
      </c>
      <c r="R126" s="154">
        <v>0</v>
      </c>
      <c r="S126" s="154">
        <v>1667600000</v>
      </c>
      <c r="T126" s="154">
        <v>0</v>
      </c>
      <c r="U126" s="154">
        <v>781400000</v>
      </c>
      <c r="V126" s="154">
        <v>886200000</v>
      </c>
      <c r="W126" s="154">
        <v>781400000</v>
      </c>
      <c r="X126" s="154">
        <v>781400000</v>
      </c>
      <c r="Y126" s="154">
        <v>781400000</v>
      </c>
      <c r="Z126" s="154">
        <v>781400000</v>
      </c>
    </row>
    <row r="127" spans="1:26" s="141" customFormat="1" ht="45">
      <c r="A127" s="65" t="s">
        <v>57</v>
      </c>
      <c r="B127" s="249" t="s">
        <v>400</v>
      </c>
      <c r="C127" s="250" t="s">
        <v>309</v>
      </c>
      <c r="D127" s="65" t="s">
        <v>11</v>
      </c>
      <c r="E127" s="65" t="s">
        <v>307</v>
      </c>
      <c r="F127" s="65" t="s">
        <v>307</v>
      </c>
      <c r="G127" s="65" t="s">
        <v>310</v>
      </c>
      <c r="H127" s="65"/>
      <c r="I127" s="65"/>
      <c r="J127" s="65"/>
      <c r="K127" s="65"/>
      <c r="L127" s="65" t="s">
        <v>116</v>
      </c>
      <c r="M127" s="65" t="s">
        <v>117</v>
      </c>
      <c r="N127" s="65" t="s">
        <v>118</v>
      </c>
      <c r="O127" s="249" t="s">
        <v>311</v>
      </c>
      <c r="P127" s="154">
        <v>418900000</v>
      </c>
      <c r="Q127" s="154">
        <v>0</v>
      </c>
      <c r="R127" s="154">
        <v>0</v>
      </c>
      <c r="S127" s="154">
        <v>418900000</v>
      </c>
      <c r="T127" s="154">
        <v>0</v>
      </c>
      <c r="U127" s="154">
        <v>268900000</v>
      </c>
      <c r="V127" s="154">
        <v>150000000</v>
      </c>
      <c r="W127" s="154">
        <v>268900000</v>
      </c>
      <c r="X127" s="154">
        <v>268900000</v>
      </c>
      <c r="Y127" s="154">
        <v>268900000</v>
      </c>
      <c r="Z127" s="154">
        <v>268900000</v>
      </c>
    </row>
    <row r="128" spans="1:26" s="141" customFormat="1" ht="45">
      <c r="A128" s="65" t="s">
        <v>57</v>
      </c>
      <c r="B128" s="249" t="s">
        <v>400</v>
      </c>
      <c r="C128" s="250" t="s">
        <v>312</v>
      </c>
      <c r="D128" s="65" t="s">
        <v>11</v>
      </c>
      <c r="E128" s="65" t="s">
        <v>307</v>
      </c>
      <c r="F128" s="65" t="s">
        <v>307</v>
      </c>
      <c r="G128" s="65" t="s">
        <v>313</v>
      </c>
      <c r="H128" s="65"/>
      <c r="I128" s="65"/>
      <c r="J128" s="65"/>
      <c r="K128" s="65"/>
      <c r="L128" s="65" t="s">
        <v>116</v>
      </c>
      <c r="M128" s="65" t="s">
        <v>117</v>
      </c>
      <c r="N128" s="65" t="s">
        <v>118</v>
      </c>
      <c r="O128" s="249" t="s">
        <v>314</v>
      </c>
      <c r="P128" s="154">
        <v>41200000</v>
      </c>
      <c r="Q128" s="154">
        <v>0</v>
      </c>
      <c r="R128" s="154">
        <v>0</v>
      </c>
      <c r="S128" s="154">
        <v>41200000</v>
      </c>
      <c r="T128" s="154">
        <v>0</v>
      </c>
      <c r="U128" s="154">
        <v>31200000</v>
      </c>
      <c r="V128" s="154">
        <v>10000000</v>
      </c>
      <c r="W128" s="154">
        <v>31200000</v>
      </c>
      <c r="X128" s="154">
        <v>31200000</v>
      </c>
      <c r="Y128" s="154">
        <v>31200000</v>
      </c>
      <c r="Z128" s="154">
        <v>31200000</v>
      </c>
    </row>
    <row r="129" spans="1:26" s="141" customFormat="1" ht="45">
      <c r="A129" s="65" t="s">
        <v>57</v>
      </c>
      <c r="B129" s="249" t="s">
        <v>400</v>
      </c>
      <c r="C129" s="250" t="s">
        <v>434</v>
      </c>
      <c r="D129" s="65" t="s">
        <v>11</v>
      </c>
      <c r="E129" s="65" t="s">
        <v>313</v>
      </c>
      <c r="F129" s="65" t="s">
        <v>117</v>
      </c>
      <c r="G129" s="65"/>
      <c r="H129" s="65"/>
      <c r="I129" s="65"/>
      <c r="J129" s="65"/>
      <c r="K129" s="65"/>
      <c r="L129" s="65" t="s">
        <v>116</v>
      </c>
      <c r="M129" s="65" t="s">
        <v>117</v>
      </c>
      <c r="N129" s="65" t="s">
        <v>118</v>
      </c>
      <c r="O129" s="249" t="s">
        <v>435</v>
      </c>
      <c r="P129" s="154">
        <v>80100000</v>
      </c>
      <c r="Q129" s="154">
        <v>0</v>
      </c>
      <c r="R129" s="154">
        <v>0</v>
      </c>
      <c r="S129" s="154">
        <v>80100000</v>
      </c>
      <c r="T129" s="154">
        <v>0</v>
      </c>
      <c r="U129" s="154">
        <v>0</v>
      </c>
      <c r="V129" s="154">
        <v>80100000</v>
      </c>
      <c r="W129" s="154">
        <v>0</v>
      </c>
      <c r="X129" s="154">
        <v>0</v>
      </c>
      <c r="Y129" s="154">
        <v>0</v>
      </c>
      <c r="Z129" s="154">
        <v>0</v>
      </c>
    </row>
    <row r="130" spans="1:26" s="141" customFormat="1" ht="45">
      <c r="A130" s="65" t="s">
        <v>57</v>
      </c>
      <c r="B130" s="249" t="s">
        <v>400</v>
      </c>
      <c r="C130" s="250" t="s">
        <v>294</v>
      </c>
      <c r="D130" s="65" t="s">
        <v>11</v>
      </c>
      <c r="E130" s="65" t="s">
        <v>332</v>
      </c>
      <c r="F130" s="65" t="s">
        <v>318</v>
      </c>
      <c r="G130" s="65" t="s">
        <v>307</v>
      </c>
      <c r="H130" s="65"/>
      <c r="I130" s="65"/>
      <c r="J130" s="65"/>
      <c r="K130" s="65"/>
      <c r="L130" s="65" t="s">
        <v>116</v>
      </c>
      <c r="M130" s="65" t="s">
        <v>125</v>
      </c>
      <c r="N130" s="65" t="s">
        <v>126</v>
      </c>
      <c r="O130" s="249" t="s">
        <v>334</v>
      </c>
      <c r="P130" s="154">
        <v>24400000</v>
      </c>
      <c r="Q130" s="154">
        <v>0</v>
      </c>
      <c r="R130" s="154">
        <v>0</v>
      </c>
      <c r="S130" s="154">
        <v>24400000</v>
      </c>
      <c r="T130" s="154">
        <v>0</v>
      </c>
      <c r="U130" s="154">
        <v>0</v>
      </c>
      <c r="V130" s="154">
        <v>24400000</v>
      </c>
      <c r="W130" s="154">
        <v>0</v>
      </c>
      <c r="X130" s="154">
        <v>0</v>
      </c>
      <c r="Y130" s="154">
        <v>0</v>
      </c>
      <c r="Z130" s="154">
        <v>0</v>
      </c>
    </row>
    <row r="131" spans="1:26" s="141" customFormat="1" ht="56.25">
      <c r="A131" s="65" t="s">
        <v>57</v>
      </c>
      <c r="B131" s="249" t="s">
        <v>400</v>
      </c>
      <c r="C131" s="250" t="s">
        <v>522</v>
      </c>
      <c r="D131" s="65" t="s">
        <v>16</v>
      </c>
      <c r="E131" s="65" t="s">
        <v>136</v>
      </c>
      <c r="F131" s="65" t="s">
        <v>132</v>
      </c>
      <c r="G131" s="65" t="s">
        <v>345</v>
      </c>
      <c r="H131" s="65" t="s">
        <v>84</v>
      </c>
      <c r="I131" s="65" t="s">
        <v>84</v>
      </c>
      <c r="J131" s="65" t="s">
        <v>84</v>
      </c>
      <c r="K131" s="65" t="s">
        <v>84</v>
      </c>
      <c r="L131" s="65" t="s">
        <v>116</v>
      </c>
      <c r="M131" s="65" t="s">
        <v>125</v>
      </c>
      <c r="N131" s="65" t="s">
        <v>118</v>
      </c>
      <c r="O131" s="249" t="s">
        <v>532</v>
      </c>
      <c r="P131" s="154">
        <v>3740805357</v>
      </c>
      <c r="Q131" s="154">
        <v>0</v>
      </c>
      <c r="R131" s="154">
        <v>0</v>
      </c>
      <c r="S131" s="154">
        <v>3740805357</v>
      </c>
      <c r="T131" s="154">
        <v>0</v>
      </c>
      <c r="U131" s="154">
        <v>3724010345</v>
      </c>
      <c r="V131" s="154">
        <v>16795012</v>
      </c>
      <c r="W131" s="154">
        <v>3675980350</v>
      </c>
      <c r="X131" s="154">
        <v>27376393</v>
      </c>
      <c r="Y131" s="154">
        <v>27376393</v>
      </c>
      <c r="Z131" s="154">
        <v>27376393</v>
      </c>
    </row>
    <row r="132" spans="1:26" s="141" customFormat="1" ht="45">
      <c r="A132" s="65" t="s">
        <v>81</v>
      </c>
      <c r="B132" s="249" t="s">
        <v>401</v>
      </c>
      <c r="C132" s="250" t="s">
        <v>306</v>
      </c>
      <c r="D132" s="65" t="s">
        <v>11</v>
      </c>
      <c r="E132" s="65" t="s">
        <v>307</v>
      </c>
      <c r="F132" s="65" t="s">
        <v>307</v>
      </c>
      <c r="G132" s="65" t="s">
        <v>307</v>
      </c>
      <c r="H132" s="65"/>
      <c r="I132" s="65"/>
      <c r="J132" s="65"/>
      <c r="K132" s="65"/>
      <c r="L132" s="65" t="s">
        <v>116</v>
      </c>
      <c r="M132" s="65" t="s">
        <v>117</v>
      </c>
      <c r="N132" s="65" t="s">
        <v>118</v>
      </c>
      <c r="O132" s="249" t="s">
        <v>308</v>
      </c>
      <c r="P132" s="154">
        <v>1339265000</v>
      </c>
      <c r="Q132" s="154">
        <v>0</v>
      </c>
      <c r="R132" s="154">
        <v>0</v>
      </c>
      <c r="S132" s="154">
        <v>1339265000</v>
      </c>
      <c r="T132" s="154">
        <v>0</v>
      </c>
      <c r="U132" s="154">
        <v>1339265000</v>
      </c>
      <c r="V132" s="154">
        <v>0</v>
      </c>
      <c r="W132" s="154">
        <v>1339265000</v>
      </c>
      <c r="X132" s="154">
        <v>223210826</v>
      </c>
      <c r="Y132" s="154">
        <v>223210826</v>
      </c>
      <c r="Z132" s="154">
        <v>223210826</v>
      </c>
    </row>
    <row r="133" spans="1:26" s="141" customFormat="1" ht="33.75">
      <c r="A133" s="65" t="s">
        <v>74</v>
      </c>
      <c r="B133" s="249" t="s">
        <v>402</v>
      </c>
      <c r="C133" s="250" t="s">
        <v>306</v>
      </c>
      <c r="D133" s="65" t="s">
        <v>11</v>
      </c>
      <c r="E133" s="65" t="s">
        <v>307</v>
      </c>
      <c r="F133" s="65" t="s">
        <v>307</v>
      </c>
      <c r="G133" s="65" t="s">
        <v>307</v>
      </c>
      <c r="H133" s="65"/>
      <c r="I133" s="65"/>
      <c r="J133" s="65"/>
      <c r="K133" s="65"/>
      <c r="L133" s="65" t="s">
        <v>116</v>
      </c>
      <c r="M133" s="65" t="s">
        <v>117</v>
      </c>
      <c r="N133" s="65" t="s">
        <v>118</v>
      </c>
      <c r="O133" s="249" t="s">
        <v>308</v>
      </c>
      <c r="P133" s="154">
        <v>1698438000</v>
      </c>
      <c r="Q133" s="154">
        <v>0</v>
      </c>
      <c r="R133" s="154">
        <v>0</v>
      </c>
      <c r="S133" s="154">
        <v>1698438000</v>
      </c>
      <c r="T133" s="154">
        <v>0</v>
      </c>
      <c r="U133" s="154">
        <v>393670483</v>
      </c>
      <c r="V133" s="154">
        <v>1304767517</v>
      </c>
      <c r="W133" s="154">
        <v>393670483</v>
      </c>
      <c r="X133" s="154">
        <v>393670483</v>
      </c>
      <c r="Y133" s="154">
        <v>393670483</v>
      </c>
      <c r="Z133" s="154">
        <v>393670483</v>
      </c>
    </row>
    <row r="134" spans="1:26" s="141" customFormat="1" ht="33.75">
      <c r="A134" s="65" t="s">
        <v>74</v>
      </c>
      <c r="B134" s="249" t="s">
        <v>402</v>
      </c>
      <c r="C134" s="250" t="s">
        <v>309</v>
      </c>
      <c r="D134" s="65" t="s">
        <v>11</v>
      </c>
      <c r="E134" s="65" t="s">
        <v>307</v>
      </c>
      <c r="F134" s="65" t="s">
        <v>307</v>
      </c>
      <c r="G134" s="65" t="s">
        <v>310</v>
      </c>
      <c r="H134" s="65"/>
      <c r="I134" s="65"/>
      <c r="J134" s="65"/>
      <c r="K134" s="65"/>
      <c r="L134" s="65" t="s">
        <v>116</v>
      </c>
      <c r="M134" s="65" t="s">
        <v>117</v>
      </c>
      <c r="N134" s="65" t="s">
        <v>118</v>
      </c>
      <c r="O134" s="249" t="s">
        <v>311</v>
      </c>
      <c r="P134" s="154">
        <v>436276000</v>
      </c>
      <c r="Q134" s="154">
        <v>0</v>
      </c>
      <c r="R134" s="154">
        <v>0</v>
      </c>
      <c r="S134" s="154">
        <v>436276000</v>
      </c>
      <c r="T134" s="154">
        <v>0</v>
      </c>
      <c r="U134" s="154">
        <v>74000000</v>
      </c>
      <c r="V134" s="154">
        <v>362276000</v>
      </c>
      <c r="W134" s="154">
        <v>74000000</v>
      </c>
      <c r="X134" s="154">
        <v>74000000</v>
      </c>
      <c r="Y134" s="154">
        <v>74000000</v>
      </c>
      <c r="Z134" s="154">
        <v>74000000</v>
      </c>
    </row>
    <row r="135" spans="1:26" s="141" customFormat="1" ht="33.75">
      <c r="A135" s="65" t="s">
        <v>74</v>
      </c>
      <c r="B135" s="249" t="s">
        <v>402</v>
      </c>
      <c r="C135" s="250" t="s">
        <v>312</v>
      </c>
      <c r="D135" s="65" t="s">
        <v>11</v>
      </c>
      <c r="E135" s="65" t="s">
        <v>307</v>
      </c>
      <c r="F135" s="65" t="s">
        <v>307</v>
      </c>
      <c r="G135" s="65" t="s">
        <v>313</v>
      </c>
      <c r="H135" s="65"/>
      <c r="I135" s="65"/>
      <c r="J135" s="65"/>
      <c r="K135" s="65"/>
      <c r="L135" s="65" t="s">
        <v>116</v>
      </c>
      <c r="M135" s="65" t="s">
        <v>117</v>
      </c>
      <c r="N135" s="65" t="s">
        <v>118</v>
      </c>
      <c r="O135" s="249" t="s">
        <v>314</v>
      </c>
      <c r="P135" s="154">
        <v>63285000</v>
      </c>
      <c r="Q135" s="154">
        <v>0</v>
      </c>
      <c r="R135" s="154">
        <v>0</v>
      </c>
      <c r="S135" s="154">
        <v>63285000</v>
      </c>
      <c r="T135" s="154">
        <v>0</v>
      </c>
      <c r="U135" s="154">
        <v>9000000</v>
      </c>
      <c r="V135" s="154">
        <v>54285000</v>
      </c>
      <c r="W135" s="154">
        <v>9000000</v>
      </c>
      <c r="X135" s="154">
        <v>9000000</v>
      </c>
      <c r="Y135" s="154">
        <v>9000000</v>
      </c>
      <c r="Z135" s="154">
        <v>9000000</v>
      </c>
    </row>
    <row r="136" spans="1:26" s="141" customFormat="1" ht="33.75">
      <c r="A136" s="65" t="s">
        <v>74</v>
      </c>
      <c r="B136" s="249" t="s">
        <v>402</v>
      </c>
      <c r="C136" s="250" t="s">
        <v>432</v>
      </c>
      <c r="D136" s="65" t="s">
        <v>11</v>
      </c>
      <c r="E136" s="65" t="s">
        <v>310</v>
      </c>
      <c r="F136" s="65"/>
      <c r="G136" s="65"/>
      <c r="H136" s="65"/>
      <c r="I136" s="65"/>
      <c r="J136" s="65"/>
      <c r="K136" s="65"/>
      <c r="L136" s="65" t="s">
        <v>116</v>
      </c>
      <c r="M136" s="65" t="s">
        <v>117</v>
      </c>
      <c r="N136" s="65" t="s">
        <v>118</v>
      </c>
      <c r="O136" s="249" t="s">
        <v>433</v>
      </c>
      <c r="P136" s="154">
        <v>102400000</v>
      </c>
      <c r="Q136" s="154">
        <v>0</v>
      </c>
      <c r="R136" s="154">
        <v>0</v>
      </c>
      <c r="S136" s="154">
        <v>102400000</v>
      </c>
      <c r="T136" s="154">
        <v>0</v>
      </c>
      <c r="U136" s="154">
        <v>11120000</v>
      </c>
      <c r="V136" s="154">
        <v>91280000</v>
      </c>
      <c r="W136" s="154">
        <v>11120000</v>
      </c>
      <c r="X136" s="154">
        <v>11120000</v>
      </c>
      <c r="Y136" s="154">
        <v>11120000</v>
      </c>
      <c r="Z136" s="154">
        <v>11120000</v>
      </c>
    </row>
    <row r="137" spans="1:26" s="141" customFormat="1" ht="33.75">
      <c r="A137" s="65" t="s">
        <v>74</v>
      </c>
      <c r="B137" s="249" t="s">
        <v>402</v>
      </c>
      <c r="C137" s="250" t="s">
        <v>298</v>
      </c>
      <c r="D137" s="65" t="s">
        <v>11</v>
      </c>
      <c r="E137" s="65" t="s">
        <v>332</v>
      </c>
      <c r="F137" s="65" t="s">
        <v>307</v>
      </c>
      <c r="G137" s="65"/>
      <c r="H137" s="65"/>
      <c r="I137" s="65"/>
      <c r="J137" s="65"/>
      <c r="K137" s="65"/>
      <c r="L137" s="65" t="s">
        <v>116</v>
      </c>
      <c r="M137" s="65" t="s">
        <v>117</v>
      </c>
      <c r="N137" s="65" t="s">
        <v>118</v>
      </c>
      <c r="O137" s="249" t="s">
        <v>333</v>
      </c>
      <c r="P137" s="154">
        <v>8765000</v>
      </c>
      <c r="Q137" s="154">
        <v>0</v>
      </c>
      <c r="R137" s="154">
        <v>0</v>
      </c>
      <c r="S137" s="154">
        <v>8765000</v>
      </c>
      <c r="T137" s="154">
        <v>0</v>
      </c>
      <c r="U137" s="154">
        <v>0</v>
      </c>
      <c r="V137" s="154">
        <v>8765000</v>
      </c>
      <c r="W137" s="154">
        <v>0</v>
      </c>
      <c r="X137" s="154">
        <v>0</v>
      </c>
      <c r="Y137" s="154">
        <v>0</v>
      </c>
      <c r="Z137" s="154">
        <v>0</v>
      </c>
    </row>
    <row r="138" spans="1:26" s="141" customFormat="1" ht="33.75">
      <c r="A138" s="65" t="s">
        <v>74</v>
      </c>
      <c r="B138" s="249" t="s">
        <v>402</v>
      </c>
      <c r="C138" s="250" t="s">
        <v>294</v>
      </c>
      <c r="D138" s="65" t="s">
        <v>11</v>
      </c>
      <c r="E138" s="65" t="s">
        <v>332</v>
      </c>
      <c r="F138" s="65" t="s">
        <v>318</v>
      </c>
      <c r="G138" s="65" t="s">
        <v>307</v>
      </c>
      <c r="H138" s="65"/>
      <c r="I138" s="65"/>
      <c r="J138" s="65"/>
      <c r="K138" s="65"/>
      <c r="L138" s="65" t="s">
        <v>116</v>
      </c>
      <c r="M138" s="65" t="s">
        <v>125</v>
      </c>
      <c r="N138" s="65" t="s">
        <v>126</v>
      </c>
      <c r="O138" s="249" t="s">
        <v>334</v>
      </c>
      <c r="P138" s="154">
        <v>9800000</v>
      </c>
      <c r="Q138" s="154">
        <v>0</v>
      </c>
      <c r="R138" s="154">
        <v>0</v>
      </c>
      <c r="S138" s="154">
        <v>9800000</v>
      </c>
      <c r="T138" s="154">
        <v>0</v>
      </c>
      <c r="U138" s="154">
        <v>0</v>
      </c>
      <c r="V138" s="154">
        <v>9800000</v>
      </c>
      <c r="W138" s="154">
        <v>0</v>
      </c>
      <c r="X138" s="154">
        <v>0</v>
      </c>
      <c r="Y138" s="154">
        <v>0</v>
      </c>
      <c r="Z138" s="154">
        <v>0</v>
      </c>
    </row>
    <row r="139" spans="1:26" s="141" customFormat="1" ht="33.75">
      <c r="A139" s="65" t="s">
        <v>74</v>
      </c>
      <c r="B139" s="249" t="s">
        <v>402</v>
      </c>
      <c r="C139" s="250" t="s">
        <v>436</v>
      </c>
      <c r="D139" s="65" t="s">
        <v>430</v>
      </c>
      <c r="E139" s="65" t="s">
        <v>117</v>
      </c>
      <c r="F139" s="65" t="s">
        <v>318</v>
      </c>
      <c r="G139" s="65" t="s">
        <v>307</v>
      </c>
      <c r="H139" s="65"/>
      <c r="I139" s="65"/>
      <c r="J139" s="65"/>
      <c r="K139" s="65"/>
      <c r="L139" s="65" t="s">
        <v>116</v>
      </c>
      <c r="M139" s="65" t="s">
        <v>125</v>
      </c>
      <c r="N139" s="65" t="s">
        <v>118</v>
      </c>
      <c r="O139" s="249" t="s">
        <v>437</v>
      </c>
      <c r="P139" s="154">
        <v>4644239146</v>
      </c>
      <c r="Q139" s="154">
        <v>0</v>
      </c>
      <c r="R139" s="154">
        <v>0</v>
      </c>
      <c r="S139" s="154">
        <v>4644239146</v>
      </c>
      <c r="T139" s="154">
        <v>0</v>
      </c>
      <c r="U139" s="154">
        <v>0</v>
      </c>
      <c r="V139" s="154">
        <v>4644239146</v>
      </c>
      <c r="W139" s="154">
        <v>0</v>
      </c>
      <c r="X139" s="154">
        <v>0</v>
      </c>
      <c r="Y139" s="154">
        <v>0</v>
      </c>
      <c r="Z139" s="154">
        <v>0</v>
      </c>
    </row>
    <row r="140" spans="1:26" s="141" customFormat="1" ht="33.75">
      <c r="A140" s="65" t="s">
        <v>79</v>
      </c>
      <c r="B140" s="249" t="s">
        <v>403</v>
      </c>
      <c r="C140" s="250" t="s">
        <v>306</v>
      </c>
      <c r="D140" s="65" t="s">
        <v>11</v>
      </c>
      <c r="E140" s="65" t="s">
        <v>307</v>
      </c>
      <c r="F140" s="65" t="s">
        <v>307</v>
      </c>
      <c r="G140" s="65" t="s">
        <v>307</v>
      </c>
      <c r="H140" s="65"/>
      <c r="I140" s="65"/>
      <c r="J140" s="65"/>
      <c r="K140" s="65"/>
      <c r="L140" s="65" t="s">
        <v>116</v>
      </c>
      <c r="M140" s="65" t="s">
        <v>117</v>
      </c>
      <c r="N140" s="65" t="s">
        <v>118</v>
      </c>
      <c r="O140" s="249" t="s">
        <v>308</v>
      </c>
      <c r="P140" s="154">
        <v>1644800000</v>
      </c>
      <c r="Q140" s="154">
        <v>0</v>
      </c>
      <c r="R140" s="154">
        <v>0</v>
      </c>
      <c r="S140" s="154">
        <v>1644800000</v>
      </c>
      <c r="T140" s="154">
        <v>0</v>
      </c>
      <c r="U140" s="154">
        <v>1644800000</v>
      </c>
      <c r="V140" s="154">
        <v>0</v>
      </c>
      <c r="W140" s="154">
        <v>271540803</v>
      </c>
      <c r="X140" s="154">
        <v>271540803</v>
      </c>
      <c r="Y140" s="154">
        <v>271540803</v>
      </c>
      <c r="Z140" s="154">
        <v>271540803</v>
      </c>
    </row>
    <row r="141" spans="1:26" s="141" customFormat="1" ht="33.75">
      <c r="A141" s="65" t="s">
        <v>79</v>
      </c>
      <c r="B141" s="249" t="s">
        <v>403</v>
      </c>
      <c r="C141" s="250" t="s">
        <v>309</v>
      </c>
      <c r="D141" s="65" t="s">
        <v>11</v>
      </c>
      <c r="E141" s="65" t="s">
        <v>307</v>
      </c>
      <c r="F141" s="65" t="s">
        <v>307</v>
      </c>
      <c r="G141" s="65" t="s">
        <v>310</v>
      </c>
      <c r="H141" s="65"/>
      <c r="I141" s="65"/>
      <c r="J141" s="65"/>
      <c r="K141" s="65"/>
      <c r="L141" s="65" t="s">
        <v>116</v>
      </c>
      <c r="M141" s="65" t="s">
        <v>117</v>
      </c>
      <c r="N141" s="65" t="s">
        <v>118</v>
      </c>
      <c r="O141" s="249" t="s">
        <v>311</v>
      </c>
      <c r="P141" s="154">
        <v>524500000</v>
      </c>
      <c r="Q141" s="154">
        <v>0</v>
      </c>
      <c r="R141" s="154">
        <v>0</v>
      </c>
      <c r="S141" s="154">
        <v>524500000</v>
      </c>
      <c r="T141" s="154">
        <v>0</v>
      </c>
      <c r="U141" s="154">
        <v>524500000</v>
      </c>
      <c r="V141" s="154">
        <v>0</v>
      </c>
      <c r="W141" s="154">
        <v>218938711</v>
      </c>
      <c r="X141" s="154">
        <v>218938711</v>
      </c>
      <c r="Y141" s="154">
        <v>218938711</v>
      </c>
      <c r="Z141" s="154">
        <v>218938711</v>
      </c>
    </row>
    <row r="142" spans="1:26" s="141" customFormat="1" ht="33.75">
      <c r="A142" s="65" t="s">
        <v>79</v>
      </c>
      <c r="B142" s="249" t="s">
        <v>403</v>
      </c>
      <c r="C142" s="250" t="s">
        <v>312</v>
      </c>
      <c r="D142" s="65" t="s">
        <v>11</v>
      </c>
      <c r="E142" s="65" t="s">
        <v>307</v>
      </c>
      <c r="F142" s="65" t="s">
        <v>307</v>
      </c>
      <c r="G142" s="65" t="s">
        <v>313</v>
      </c>
      <c r="H142" s="65"/>
      <c r="I142" s="65"/>
      <c r="J142" s="65"/>
      <c r="K142" s="65"/>
      <c r="L142" s="65" t="s">
        <v>116</v>
      </c>
      <c r="M142" s="65" t="s">
        <v>117</v>
      </c>
      <c r="N142" s="65" t="s">
        <v>118</v>
      </c>
      <c r="O142" s="249" t="s">
        <v>314</v>
      </c>
      <c r="P142" s="154">
        <v>468700000</v>
      </c>
      <c r="Q142" s="154">
        <v>0</v>
      </c>
      <c r="R142" s="154">
        <v>0</v>
      </c>
      <c r="S142" s="154">
        <v>468700000</v>
      </c>
      <c r="T142" s="154">
        <v>0</v>
      </c>
      <c r="U142" s="154">
        <v>468700000</v>
      </c>
      <c r="V142" s="154">
        <v>0</v>
      </c>
      <c r="W142" s="154">
        <v>115520486</v>
      </c>
      <c r="X142" s="154">
        <v>115520486</v>
      </c>
      <c r="Y142" s="154">
        <v>115520486</v>
      </c>
      <c r="Z142" s="154">
        <v>115520486</v>
      </c>
    </row>
    <row r="143" spans="1:26" s="141" customFormat="1" ht="33.75">
      <c r="A143" s="65" t="s">
        <v>79</v>
      </c>
      <c r="B143" s="249" t="s">
        <v>403</v>
      </c>
      <c r="C143" s="250" t="s">
        <v>432</v>
      </c>
      <c r="D143" s="65" t="s">
        <v>11</v>
      </c>
      <c r="E143" s="65" t="s">
        <v>310</v>
      </c>
      <c r="F143" s="65"/>
      <c r="G143" s="65"/>
      <c r="H143" s="65"/>
      <c r="I143" s="65"/>
      <c r="J143" s="65"/>
      <c r="K143" s="65"/>
      <c r="L143" s="65" t="s">
        <v>116</v>
      </c>
      <c r="M143" s="65" t="s">
        <v>117</v>
      </c>
      <c r="N143" s="65" t="s">
        <v>118</v>
      </c>
      <c r="O143" s="249" t="s">
        <v>433</v>
      </c>
      <c r="P143" s="154">
        <v>89300000</v>
      </c>
      <c r="Q143" s="154">
        <v>0</v>
      </c>
      <c r="R143" s="154">
        <v>0</v>
      </c>
      <c r="S143" s="154">
        <v>89300000</v>
      </c>
      <c r="T143" s="154">
        <v>0</v>
      </c>
      <c r="U143" s="154">
        <v>89300000</v>
      </c>
      <c r="V143" s="154">
        <v>0</v>
      </c>
      <c r="W143" s="154">
        <v>18199998</v>
      </c>
      <c r="X143" s="154">
        <v>18199998</v>
      </c>
      <c r="Y143" s="154">
        <v>18199998</v>
      </c>
      <c r="Z143" s="154">
        <v>18199998</v>
      </c>
    </row>
    <row r="144" spans="1:26" s="141" customFormat="1" ht="33.75">
      <c r="A144" s="65" t="s">
        <v>79</v>
      </c>
      <c r="B144" s="249" t="s">
        <v>403</v>
      </c>
      <c r="C144" s="250" t="s">
        <v>298</v>
      </c>
      <c r="D144" s="65" t="s">
        <v>11</v>
      </c>
      <c r="E144" s="65" t="s">
        <v>332</v>
      </c>
      <c r="F144" s="65" t="s">
        <v>307</v>
      </c>
      <c r="G144" s="65"/>
      <c r="H144" s="65"/>
      <c r="I144" s="65"/>
      <c r="J144" s="65"/>
      <c r="K144" s="65"/>
      <c r="L144" s="65" t="s">
        <v>116</v>
      </c>
      <c r="M144" s="65" t="s">
        <v>117</v>
      </c>
      <c r="N144" s="65" t="s">
        <v>118</v>
      </c>
      <c r="O144" s="249" t="s">
        <v>333</v>
      </c>
      <c r="P144" s="154">
        <v>43900000</v>
      </c>
      <c r="Q144" s="154">
        <v>0</v>
      </c>
      <c r="R144" s="154">
        <v>0</v>
      </c>
      <c r="S144" s="154">
        <v>43900000</v>
      </c>
      <c r="T144" s="154">
        <v>0</v>
      </c>
      <c r="U144" s="154">
        <v>43900000</v>
      </c>
      <c r="V144" s="154">
        <v>0</v>
      </c>
      <c r="W144" s="154">
        <v>43899994</v>
      </c>
      <c r="X144" s="154">
        <v>43899994</v>
      </c>
      <c r="Y144" s="154">
        <v>43899994</v>
      </c>
      <c r="Z144" s="154">
        <v>43899994</v>
      </c>
    </row>
    <row r="145" spans="1:26" s="141" customFormat="1" ht="33.75">
      <c r="A145" s="65" t="s">
        <v>79</v>
      </c>
      <c r="B145" s="249" t="s">
        <v>403</v>
      </c>
      <c r="C145" s="250" t="s">
        <v>294</v>
      </c>
      <c r="D145" s="65" t="s">
        <v>11</v>
      </c>
      <c r="E145" s="65" t="s">
        <v>332</v>
      </c>
      <c r="F145" s="65" t="s">
        <v>318</v>
      </c>
      <c r="G145" s="65" t="s">
        <v>307</v>
      </c>
      <c r="H145" s="65"/>
      <c r="I145" s="65"/>
      <c r="J145" s="65"/>
      <c r="K145" s="65"/>
      <c r="L145" s="65" t="s">
        <v>116</v>
      </c>
      <c r="M145" s="65" t="s">
        <v>125</v>
      </c>
      <c r="N145" s="65" t="s">
        <v>126</v>
      </c>
      <c r="O145" s="249" t="s">
        <v>334</v>
      </c>
      <c r="P145" s="154">
        <v>14400000</v>
      </c>
      <c r="Q145" s="154">
        <v>0</v>
      </c>
      <c r="R145" s="154">
        <v>0</v>
      </c>
      <c r="S145" s="154">
        <v>14400000</v>
      </c>
      <c r="T145" s="154">
        <v>0</v>
      </c>
      <c r="U145" s="154">
        <v>14400000</v>
      </c>
      <c r="V145" s="154">
        <v>0</v>
      </c>
      <c r="W145" s="154">
        <v>0</v>
      </c>
      <c r="X145" s="154">
        <v>0</v>
      </c>
      <c r="Y145" s="154">
        <v>0</v>
      </c>
      <c r="Z145" s="154">
        <v>0</v>
      </c>
    </row>
    <row r="146" spans="1:26" s="141" customFormat="1" ht="33.75">
      <c r="A146" s="65" t="s">
        <v>79</v>
      </c>
      <c r="B146" s="249" t="s">
        <v>403</v>
      </c>
      <c r="C146" s="250" t="s">
        <v>436</v>
      </c>
      <c r="D146" s="65" t="s">
        <v>430</v>
      </c>
      <c r="E146" s="65" t="s">
        <v>117</v>
      </c>
      <c r="F146" s="65" t="s">
        <v>318</v>
      </c>
      <c r="G146" s="65" t="s">
        <v>307</v>
      </c>
      <c r="H146" s="65"/>
      <c r="I146" s="65"/>
      <c r="J146" s="65"/>
      <c r="K146" s="65"/>
      <c r="L146" s="65" t="s">
        <v>116</v>
      </c>
      <c r="M146" s="65" t="s">
        <v>125</v>
      </c>
      <c r="N146" s="65" t="s">
        <v>118</v>
      </c>
      <c r="O146" s="249" t="s">
        <v>437</v>
      </c>
      <c r="P146" s="154">
        <v>551929943</v>
      </c>
      <c r="Q146" s="154">
        <v>0</v>
      </c>
      <c r="R146" s="154">
        <v>0</v>
      </c>
      <c r="S146" s="154">
        <v>551929943</v>
      </c>
      <c r="T146" s="154">
        <v>0</v>
      </c>
      <c r="U146" s="154">
        <v>551929943</v>
      </c>
      <c r="V146" s="154">
        <v>0</v>
      </c>
      <c r="W146" s="154">
        <v>0</v>
      </c>
      <c r="X146" s="154">
        <v>0</v>
      </c>
      <c r="Y146" s="154">
        <v>0</v>
      </c>
      <c r="Z146" s="154">
        <v>0</v>
      </c>
    </row>
    <row r="147" spans="1:26" s="141" customFormat="1" ht="33.75">
      <c r="A147" s="65" t="s">
        <v>70</v>
      </c>
      <c r="B147" s="249" t="s">
        <v>404</v>
      </c>
      <c r="C147" s="250" t="s">
        <v>306</v>
      </c>
      <c r="D147" s="65" t="s">
        <v>11</v>
      </c>
      <c r="E147" s="65" t="s">
        <v>307</v>
      </c>
      <c r="F147" s="65" t="s">
        <v>307</v>
      </c>
      <c r="G147" s="65" t="s">
        <v>307</v>
      </c>
      <c r="H147" s="65"/>
      <c r="I147" s="65"/>
      <c r="J147" s="65"/>
      <c r="K147" s="65"/>
      <c r="L147" s="65" t="s">
        <v>116</v>
      </c>
      <c r="M147" s="65" t="s">
        <v>117</v>
      </c>
      <c r="N147" s="65" t="s">
        <v>118</v>
      </c>
      <c r="O147" s="249" t="s">
        <v>308</v>
      </c>
      <c r="P147" s="154">
        <v>1922900000</v>
      </c>
      <c r="Q147" s="154">
        <v>0</v>
      </c>
      <c r="R147" s="154">
        <v>0</v>
      </c>
      <c r="S147" s="154">
        <v>1922900000</v>
      </c>
      <c r="T147" s="154">
        <v>0</v>
      </c>
      <c r="U147" s="154">
        <v>1922900000</v>
      </c>
      <c r="V147" s="154">
        <v>0</v>
      </c>
      <c r="W147" s="154">
        <v>606890194</v>
      </c>
      <c r="X147" s="154">
        <v>606890194</v>
      </c>
      <c r="Y147" s="154">
        <v>606890194</v>
      </c>
      <c r="Z147" s="154">
        <v>606890194</v>
      </c>
    </row>
    <row r="148" spans="1:26" s="141" customFormat="1" ht="33.75">
      <c r="A148" s="65" t="s">
        <v>70</v>
      </c>
      <c r="B148" s="249" t="s">
        <v>404</v>
      </c>
      <c r="C148" s="250" t="s">
        <v>309</v>
      </c>
      <c r="D148" s="65" t="s">
        <v>11</v>
      </c>
      <c r="E148" s="65" t="s">
        <v>307</v>
      </c>
      <c r="F148" s="65" t="s">
        <v>307</v>
      </c>
      <c r="G148" s="65" t="s">
        <v>310</v>
      </c>
      <c r="H148" s="65"/>
      <c r="I148" s="65"/>
      <c r="J148" s="65"/>
      <c r="K148" s="65"/>
      <c r="L148" s="65" t="s">
        <v>116</v>
      </c>
      <c r="M148" s="65" t="s">
        <v>117</v>
      </c>
      <c r="N148" s="65" t="s">
        <v>118</v>
      </c>
      <c r="O148" s="249" t="s">
        <v>311</v>
      </c>
      <c r="P148" s="154">
        <v>568800000</v>
      </c>
      <c r="Q148" s="154">
        <v>0</v>
      </c>
      <c r="R148" s="154">
        <v>0</v>
      </c>
      <c r="S148" s="154">
        <v>568800000</v>
      </c>
      <c r="T148" s="154">
        <v>0</v>
      </c>
      <c r="U148" s="154">
        <v>568800000</v>
      </c>
      <c r="V148" s="154">
        <v>0</v>
      </c>
      <c r="W148" s="154">
        <v>243844317</v>
      </c>
      <c r="X148" s="154">
        <v>243844317</v>
      </c>
      <c r="Y148" s="154">
        <v>243844317</v>
      </c>
      <c r="Z148" s="154">
        <v>243844317</v>
      </c>
    </row>
    <row r="149" spans="1:26" s="141" customFormat="1" ht="33.75">
      <c r="A149" s="65" t="s">
        <v>70</v>
      </c>
      <c r="B149" s="249" t="s">
        <v>404</v>
      </c>
      <c r="C149" s="250" t="s">
        <v>312</v>
      </c>
      <c r="D149" s="65" t="s">
        <v>11</v>
      </c>
      <c r="E149" s="65" t="s">
        <v>307</v>
      </c>
      <c r="F149" s="65" t="s">
        <v>307</v>
      </c>
      <c r="G149" s="65" t="s">
        <v>313</v>
      </c>
      <c r="H149" s="65"/>
      <c r="I149" s="65"/>
      <c r="J149" s="65"/>
      <c r="K149" s="65"/>
      <c r="L149" s="65" t="s">
        <v>116</v>
      </c>
      <c r="M149" s="65" t="s">
        <v>117</v>
      </c>
      <c r="N149" s="65" t="s">
        <v>118</v>
      </c>
      <c r="O149" s="249" t="s">
        <v>314</v>
      </c>
      <c r="P149" s="154">
        <v>156617000</v>
      </c>
      <c r="Q149" s="154">
        <v>0</v>
      </c>
      <c r="R149" s="154">
        <v>0</v>
      </c>
      <c r="S149" s="154">
        <v>156617000</v>
      </c>
      <c r="T149" s="154">
        <v>0</v>
      </c>
      <c r="U149" s="154">
        <v>156617000</v>
      </c>
      <c r="V149" s="154">
        <v>0</v>
      </c>
      <c r="W149" s="154">
        <v>64208922</v>
      </c>
      <c r="X149" s="154">
        <v>64208922</v>
      </c>
      <c r="Y149" s="154">
        <v>64208922</v>
      </c>
      <c r="Z149" s="154">
        <v>64208922</v>
      </c>
    </row>
    <row r="150" spans="1:26" s="141" customFormat="1" ht="33.75">
      <c r="A150" s="65" t="s">
        <v>70</v>
      </c>
      <c r="B150" s="249" t="s">
        <v>404</v>
      </c>
      <c r="C150" s="250" t="s">
        <v>321</v>
      </c>
      <c r="D150" s="65" t="s">
        <v>11</v>
      </c>
      <c r="E150" s="65" t="s">
        <v>313</v>
      </c>
      <c r="F150" s="65" t="s">
        <v>318</v>
      </c>
      <c r="G150" s="65" t="s">
        <v>310</v>
      </c>
      <c r="H150" s="65" t="s">
        <v>322</v>
      </c>
      <c r="I150" s="65"/>
      <c r="J150" s="65"/>
      <c r="K150" s="65"/>
      <c r="L150" s="65" t="s">
        <v>116</v>
      </c>
      <c r="M150" s="65" t="s">
        <v>117</v>
      </c>
      <c r="N150" s="65" t="s">
        <v>118</v>
      </c>
      <c r="O150" s="249" t="s">
        <v>323</v>
      </c>
      <c r="P150" s="154">
        <v>111200000</v>
      </c>
      <c r="Q150" s="154">
        <v>0</v>
      </c>
      <c r="R150" s="154">
        <v>0</v>
      </c>
      <c r="S150" s="154">
        <v>111200000</v>
      </c>
      <c r="T150" s="154">
        <v>0</v>
      </c>
      <c r="U150" s="154">
        <v>111200000</v>
      </c>
      <c r="V150" s="154">
        <v>0</v>
      </c>
      <c r="W150" s="154">
        <v>16040307</v>
      </c>
      <c r="X150" s="154">
        <v>16040307</v>
      </c>
      <c r="Y150" s="154">
        <v>16040307</v>
      </c>
      <c r="Z150" s="154">
        <v>16040307</v>
      </c>
    </row>
    <row r="151" spans="1:26" s="141" customFormat="1" ht="45">
      <c r="A151" s="65" t="s">
        <v>70</v>
      </c>
      <c r="B151" s="249" t="s">
        <v>404</v>
      </c>
      <c r="C151" s="250" t="s">
        <v>330</v>
      </c>
      <c r="D151" s="65" t="s">
        <v>11</v>
      </c>
      <c r="E151" s="65" t="s">
        <v>313</v>
      </c>
      <c r="F151" s="65" t="s">
        <v>318</v>
      </c>
      <c r="G151" s="65" t="s">
        <v>310</v>
      </c>
      <c r="H151" s="65" t="s">
        <v>331</v>
      </c>
      <c r="I151" s="65"/>
      <c r="J151" s="65"/>
      <c r="K151" s="65"/>
      <c r="L151" s="65" t="s">
        <v>116</v>
      </c>
      <c r="M151" s="65" t="s">
        <v>117</v>
      </c>
      <c r="N151" s="65" t="s">
        <v>118</v>
      </c>
      <c r="O151" s="249" t="s">
        <v>352</v>
      </c>
      <c r="P151" s="154">
        <v>11800000</v>
      </c>
      <c r="Q151" s="154">
        <v>0</v>
      </c>
      <c r="R151" s="154">
        <v>0</v>
      </c>
      <c r="S151" s="154">
        <v>11800000</v>
      </c>
      <c r="T151" s="154">
        <v>0</v>
      </c>
      <c r="U151" s="154">
        <v>11800000</v>
      </c>
      <c r="V151" s="154">
        <v>0</v>
      </c>
      <c r="W151" s="154">
        <v>3952317</v>
      </c>
      <c r="X151" s="154">
        <v>3952317</v>
      </c>
      <c r="Y151" s="154">
        <v>3952317</v>
      </c>
      <c r="Z151" s="154">
        <v>3952317</v>
      </c>
    </row>
    <row r="152" spans="1:26" s="141" customFormat="1" ht="33.75">
      <c r="A152" s="65" t="s">
        <v>70</v>
      </c>
      <c r="B152" s="249" t="s">
        <v>404</v>
      </c>
      <c r="C152" s="250" t="s">
        <v>294</v>
      </c>
      <c r="D152" s="65" t="s">
        <v>11</v>
      </c>
      <c r="E152" s="65" t="s">
        <v>332</v>
      </c>
      <c r="F152" s="65" t="s">
        <v>318</v>
      </c>
      <c r="G152" s="65" t="s">
        <v>307</v>
      </c>
      <c r="H152" s="65"/>
      <c r="I152" s="65"/>
      <c r="J152" s="65"/>
      <c r="K152" s="65"/>
      <c r="L152" s="65" t="s">
        <v>116</v>
      </c>
      <c r="M152" s="65" t="s">
        <v>125</v>
      </c>
      <c r="N152" s="65" t="s">
        <v>126</v>
      </c>
      <c r="O152" s="249" t="s">
        <v>334</v>
      </c>
      <c r="P152" s="154">
        <v>7700000</v>
      </c>
      <c r="Q152" s="154">
        <v>0</v>
      </c>
      <c r="R152" s="154">
        <v>0</v>
      </c>
      <c r="S152" s="154">
        <v>7700000</v>
      </c>
      <c r="T152" s="154">
        <v>0</v>
      </c>
      <c r="U152" s="154">
        <v>0</v>
      </c>
      <c r="V152" s="154">
        <v>7700000</v>
      </c>
      <c r="W152" s="154">
        <v>0</v>
      </c>
      <c r="X152" s="154">
        <v>0</v>
      </c>
      <c r="Y152" s="154">
        <v>0</v>
      </c>
      <c r="Z152" s="154">
        <v>0</v>
      </c>
    </row>
    <row r="153" spans="1:26" s="141" customFormat="1" ht="33.75">
      <c r="A153" s="65" t="s">
        <v>65</v>
      </c>
      <c r="B153" s="249" t="s">
        <v>405</v>
      </c>
      <c r="C153" s="250" t="s">
        <v>306</v>
      </c>
      <c r="D153" s="65" t="s">
        <v>11</v>
      </c>
      <c r="E153" s="65" t="s">
        <v>307</v>
      </c>
      <c r="F153" s="65" t="s">
        <v>307</v>
      </c>
      <c r="G153" s="65" t="s">
        <v>307</v>
      </c>
      <c r="H153" s="65"/>
      <c r="I153" s="65"/>
      <c r="J153" s="65"/>
      <c r="K153" s="65"/>
      <c r="L153" s="65" t="s">
        <v>116</v>
      </c>
      <c r="M153" s="65" t="s">
        <v>117</v>
      </c>
      <c r="N153" s="65" t="s">
        <v>118</v>
      </c>
      <c r="O153" s="249" t="s">
        <v>308</v>
      </c>
      <c r="P153" s="154">
        <v>3249500000</v>
      </c>
      <c r="Q153" s="154">
        <v>0</v>
      </c>
      <c r="R153" s="154">
        <v>0</v>
      </c>
      <c r="S153" s="154">
        <v>3249500000</v>
      </c>
      <c r="T153" s="154">
        <v>0</v>
      </c>
      <c r="U153" s="154">
        <v>1405577366</v>
      </c>
      <c r="V153" s="154">
        <v>1843922634</v>
      </c>
      <c r="W153" s="154">
        <v>1405577366</v>
      </c>
      <c r="X153" s="154">
        <v>1405577366</v>
      </c>
      <c r="Y153" s="154">
        <v>1405577366</v>
      </c>
      <c r="Z153" s="154">
        <v>1405577366</v>
      </c>
    </row>
    <row r="154" spans="1:26" s="141" customFormat="1" ht="33.75">
      <c r="A154" s="65" t="s">
        <v>65</v>
      </c>
      <c r="B154" s="249" t="s">
        <v>405</v>
      </c>
      <c r="C154" s="250" t="s">
        <v>309</v>
      </c>
      <c r="D154" s="65" t="s">
        <v>11</v>
      </c>
      <c r="E154" s="65" t="s">
        <v>307</v>
      </c>
      <c r="F154" s="65" t="s">
        <v>307</v>
      </c>
      <c r="G154" s="65" t="s">
        <v>310</v>
      </c>
      <c r="H154" s="65"/>
      <c r="I154" s="65"/>
      <c r="J154" s="65"/>
      <c r="K154" s="65"/>
      <c r="L154" s="65" t="s">
        <v>116</v>
      </c>
      <c r="M154" s="65" t="s">
        <v>117</v>
      </c>
      <c r="N154" s="65" t="s">
        <v>118</v>
      </c>
      <c r="O154" s="249" t="s">
        <v>311</v>
      </c>
      <c r="P154" s="154">
        <v>743600000</v>
      </c>
      <c r="Q154" s="154">
        <v>0</v>
      </c>
      <c r="R154" s="154">
        <v>0</v>
      </c>
      <c r="S154" s="154">
        <v>743600000</v>
      </c>
      <c r="T154" s="154">
        <v>0</v>
      </c>
      <c r="U154" s="154">
        <v>424091967</v>
      </c>
      <c r="V154" s="154">
        <v>319508033</v>
      </c>
      <c r="W154" s="154">
        <v>424091967</v>
      </c>
      <c r="X154" s="154">
        <v>424091967</v>
      </c>
      <c r="Y154" s="154">
        <v>424091967</v>
      </c>
      <c r="Z154" s="154">
        <v>424091967</v>
      </c>
    </row>
    <row r="155" spans="1:26" s="141" customFormat="1" ht="33.75">
      <c r="A155" s="65" t="s">
        <v>65</v>
      </c>
      <c r="B155" s="249" t="s">
        <v>405</v>
      </c>
      <c r="C155" s="250" t="s">
        <v>312</v>
      </c>
      <c r="D155" s="65" t="s">
        <v>11</v>
      </c>
      <c r="E155" s="65" t="s">
        <v>307</v>
      </c>
      <c r="F155" s="65" t="s">
        <v>307</v>
      </c>
      <c r="G155" s="65" t="s">
        <v>313</v>
      </c>
      <c r="H155" s="65"/>
      <c r="I155" s="65"/>
      <c r="J155" s="65"/>
      <c r="K155" s="65"/>
      <c r="L155" s="65" t="s">
        <v>116</v>
      </c>
      <c r="M155" s="65" t="s">
        <v>117</v>
      </c>
      <c r="N155" s="65" t="s">
        <v>118</v>
      </c>
      <c r="O155" s="249" t="s">
        <v>314</v>
      </c>
      <c r="P155" s="154">
        <v>177000000</v>
      </c>
      <c r="Q155" s="154">
        <v>0</v>
      </c>
      <c r="R155" s="154">
        <v>0</v>
      </c>
      <c r="S155" s="154">
        <v>177000000</v>
      </c>
      <c r="T155" s="154">
        <v>0</v>
      </c>
      <c r="U155" s="154">
        <v>70330667</v>
      </c>
      <c r="V155" s="154">
        <v>106669333</v>
      </c>
      <c r="W155" s="154">
        <v>70330667</v>
      </c>
      <c r="X155" s="154">
        <v>70330667</v>
      </c>
      <c r="Y155" s="154">
        <v>70330667</v>
      </c>
      <c r="Z155" s="154">
        <v>70330667</v>
      </c>
    </row>
    <row r="156" spans="1:26" s="141" customFormat="1" ht="33.75">
      <c r="A156" s="65" t="s">
        <v>65</v>
      </c>
      <c r="B156" s="249" t="s">
        <v>405</v>
      </c>
      <c r="C156" s="250" t="s">
        <v>294</v>
      </c>
      <c r="D156" s="65" t="s">
        <v>11</v>
      </c>
      <c r="E156" s="65" t="s">
        <v>332</v>
      </c>
      <c r="F156" s="65" t="s">
        <v>318</v>
      </c>
      <c r="G156" s="65" t="s">
        <v>307</v>
      </c>
      <c r="H156" s="65"/>
      <c r="I156" s="65"/>
      <c r="J156" s="65"/>
      <c r="K156" s="65"/>
      <c r="L156" s="65" t="s">
        <v>116</v>
      </c>
      <c r="M156" s="65" t="s">
        <v>125</v>
      </c>
      <c r="N156" s="65" t="s">
        <v>126</v>
      </c>
      <c r="O156" s="249" t="s">
        <v>334</v>
      </c>
      <c r="P156" s="154">
        <v>13200000</v>
      </c>
      <c r="Q156" s="154">
        <v>0</v>
      </c>
      <c r="R156" s="154">
        <v>0</v>
      </c>
      <c r="S156" s="154">
        <v>13200000</v>
      </c>
      <c r="T156" s="154">
        <v>0</v>
      </c>
      <c r="U156" s="154">
        <v>0</v>
      </c>
      <c r="V156" s="154">
        <v>13200000</v>
      </c>
      <c r="W156" s="154">
        <v>0</v>
      </c>
      <c r="X156" s="154">
        <v>0</v>
      </c>
      <c r="Y156" s="154">
        <v>0</v>
      </c>
      <c r="Z156" s="154">
        <v>0</v>
      </c>
    </row>
    <row r="157" spans="1:26" s="141" customFormat="1" ht="33.75">
      <c r="A157" s="65" t="s">
        <v>65</v>
      </c>
      <c r="B157" s="249" t="s">
        <v>405</v>
      </c>
      <c r="C157" s="250" t="s">
        <v>436</v>
      </c>
      <c r="D157" s="65" t="s">
        <v>430</v>
      </c>
      <c r="E157" s="65" t="s">
        <v>117</v>
      </c>
      <c r="F157" s="65" t="s">
        <v>318</v>
      </c>
      <c r="G157" s="65" t="s">
        <v>307</v>
      </c>
      <c r="H157" s="65"/>
      <c r="I157" s="65"/>
      <c r="J157" s="65"/>
      <c r="K157" s="65"/>
      <c r="L157" s="65" t="s">
        <v>116</v>
      </c>
      <c r="M157" s="65" t="s">
        <v>125</v>
      </c>
      <c r="N157" s="65" t="s">
        <v>118</v>
      </c>
      <c r="O157" s="249" t="s">
        <v>437</v>
      </c>
      <c r="P157" s="154">
        <v>2648764088</v>
      </c>
      <c r="Q157" s="154">
        <v>0</v>
      </c>
      <c r="R157" s="154">
        <v>0</v>
      </c>
      <c r="S157" s="154">
        <v>2648764088</v>
      </c>
      <c r="T157" s="154">
        <v>0</v>
      </c>
      <c r="U157" s="154">
        <v>0</v>
      </c>
      <c r="V157" s="154">
        <v>2648764088</v>
      </c>
      <c r="W157" s="154">
        <v>0</v>
      </c>
      <c r="X157" s="154">
        <v>0</v>
      </c>
      <c r="Y157" s="154">
        <v>0</v>
      </c>
      <c r="Z157" s="154">
        <v>0</v>
      </c>
    </row>
    <row r="158" spans="1:26" s="141" customFormat="1" ht="33.75">
      <c r="A158" s="65" t="s">
        <v>67</v>
      </c>
      <c r="B158" s="249" t="s">
        <v>406</v>
      </c>
      <c r="C158" s="250" t="s">
        <v>306</v>
      </c>
      <c r="D158" s="65" t="s">
        <v>11</v>
      </c>
      <c r="E158" s="65" t="s">
        <v>307</v>
      </c>
      <c r="F158" s="65" t="s">
        <v>307</v>
      </c>
      <c r="G158" s="65" t="s">
        <v>307</v>
      </c>
      <c r="H158" s="65"/>
      <c r="I158" s="65"/>
      <c r="J158" s="65"/>
      <c r="K158" s="65"/>
      <c r="L158" s="65" t="s">
        <v>116</v>
      </c>
      <c r="M158" s="65" t="s">
        <v>117</v>
      </c>
      <c r="N158" s="65" t="s">
        <v>118</v>
      </c>
      <c r="O158" s="249" t="s">
        <v>308</v>
      </c>
      <c r="P158" s="154">
        <v>2504000000</v>
      </c>
      <c r="Q158" s="154">
        <v>0</v>
      </c>
      <c r="R158" s="154">
        <v>0</v>
      </c>
      <c r="S158" s="154">
        <v>2504000000</v>
      </c>
      <c r="T158" s="154">
        <v>0</v>
      </c>
      <c r="U158" s="154">
        <v>0</v>
      </c>
      <c r="V158" s="154">
        <v>2504000000</v>
      </c>
      <c r="W158" s="154">
        <v>0</v>
      </c>
      <c r="X158" s="154">
        <v>0</v>
      </c>
      <c r="Y158" s="154">
        <v>0</v>
      </c>
      <c r="Z158" s="154">
        <v>0</v>
      </c>
    </row>
    <row r="159" spans="1:26" s="141" customFormat="1" ht="33.75">
      <c r="A159" s="65" t="s">
        <v>67</v>
      </c>
      <c r="B159" s="249" t="s">
        <v>406</v>
      </c>
      <c r="C159" s="250" t="s">
        <v>309</v>
      </c>
      <c r="D159" s="65" t="s">
        <v>11</v>
      </c>
      <c r="E159" s="65" t="s">
        <v>307</v>
      </c>
      <c r="F159" s="65" t="s">
        <v>307</v>
      </c>
      <c r="G159" s="65" t="s">
        <v>310</v>
      </c>
      <c r="H159" s="65"/>
      <c r="I159" s="65"/>
      <c r="J159" s="65"/>
      <c r="K159" s="65"/>
      <c r="L159" s="65" t="s">
        <v>116</v>
      </c>
      <c r="M159" s="65" t="s">
        <v>117</v>
      </c>
      <c r="N159" s="65" t="s">
        <v>118</v>
      </c>
      <c r="O159" s="249" t="s">
        <v>311</v>
      </c>
      <c r="P159" s="154">
        <v>676900000</v>
      </c>
      <c r="Q159" s="154">
        <v>0</v>
      </c>
      <c r="R159" s="154">
        <v>0</v>
      </c>
      <c r="S159" s="154">
        <v>676900000</v>
      </c>
      <c r="T159" s="154">
        <v>0</v>
      </c>
      <c r="U159" s="154">
        <v>0</v>
      </c>
      <c r="V159" s="154">
        <v>676900000</v>
      </c>
      <c r="W159" s="154">
        <v>0</v>
      </c>
      <c r="X159" s="154">
        <v>0</v>
      </c>
      <c r="Y159" s="154">
        <v>0</v>
      </c>
      <c r="Z159" s="154">
        <v>0</v>
      </c>
    </row>
    <row r="160" spans="1:26" s="141" customFormat="1" ht="33.75">
      <c r="A160" s="65" t="s">
        <v>67</v>
      </c>
      <c r="B160" s="249" t="s">
        <v>406</v>
      </c>
      <c r="C160" s="250" t="s">
        <v>312</v>
      </c>
      <c r="D160" s="65" t="s">
        <v>11</v>
      </c>
      <c r="E160" s="65" t="s">
        <v>307</v>
      </c>
      <c r="F160" s="65" t="s">
        <v>307</v>
      </c>
      <c r="G160" s="65" t="s">
        <v>313</v>
      </c>
      <c r="H160" s="65"/>
      <c r="I160" s="65"/>
      <c r="J160" s="65"/>
      <c r="K160" s="65"/>
      <c r="L160" s="65" t="s">
        <v>116</v>
      </c>
      <c r="M160" s="65" t="s">
        <v>117</v>
      </c>
      <c r="N160" s="65" t="s">
        <v>118</v>
      </c>
      <c r="O160" s="249" t="s">
        <v>314</v>
      </c>
      <c r="P160" s="154">
        <v>471200000</v>
      </c>
      <c r="Q160" s="154">
        <v>0</v>
      </c>
      <c r="R160" s="154">
        <v>0</v>
      </c>
      <c r="S160" s="154">
        <v>471200000</v>
      </c>
      <c r="T160" s="154">
        <v>0</v>
      </c>
      <c r="U160" s="154">
        <v>0</v>
      </c>
      <c r="V160" s="154">
        <v>471200000</v>
      </c>
      <c r="W160" s="154">
        <v>0</v>
      </c>
      <c r="X160" s="154">
        <v>0</v>
      </c>
      <c r="Y160" s="154">
        <v>0</v>
      </c>
      <c r="Z160" s="154">
        <v>0</v>
      </c>
    </row>
    <row r="161" spans="1:26" s="141" customFormat="1" ht="33.75">
      <c r="A161" s="65" t="s">
        <v>67</v>
      </c>
      <c r="B161" s="249" t="s">
        <v>406</v>
      </c>
      <c r="C161" s="250" t="s">
        <v>432</v>
      </c>
      <c r="D161" s="65" t="s">
        <v>11</v>
      </c>
      <c r="E161" s="65" t="s">
        <v>310</v>
      </c>
      <c r="F161" s="65"/>
      <c r="G161" s="65"/>
      <c r="H161" s="65"/>
      <c r="I161" s="65"/>
      <c r="J161" s="65"/>
      <c r="K161" s="65"/>
      <c r="L161" s="65" t="s">
        <v>116</v>
      </c>
      <c r="M161" s="65" t="s">
        <v>117</v>
      </c>
      <c r="N161" s="65" t="s">
        <v>118</v>
      </c>
      <c r="O161" s="249" t="s">
        <v>433</v>
      </c>
      <c r="P161" s="154">
        <v>325200000</v>
      </c>
      <c r="Q161" s="154">
        <v>0</v>
      </c>
      <c r="R161" s="154">
        <v>0</v>
      </c>
      <c r="S161" s="154">
        <v>325200000</v>
      </c>
      <c r="T161" s="154">
        <v>0</v>
      </c>
      <c r="U161" s="154">
        <v>0</v>
      </c>
      <c r="V161" s="154">
        <v>325200000</v>
      </c>
      <c r="W161" s="154">
        <v>0</v>
      </c>
      <c r="X161" s="154">
        <v>0</v>
      </c>
      <c r="Y161" s="154">
        <v>0</v>
      </c>
      <c r="Z161" s="154">
        <v>0</v>
      </c>
    </row>
    <row r="162" spans="1:26" s="141" customFormat="1" ht="33.75">
      <c r="A162" s="65" t="s">
        <v>67</v>
      </c>
      <c r="B162" s="249" t="s">
        <v>406</v>
      </c>
      <c r="C162" s="250" t="s">
        <v>298</v>
      </c>
      <c r="D162" s="65" t="s">
        <v>11</v>
      </c>
      <c r="E162" s="65" t="s">
        <v>332</v>
      </c>
      <c r="F162" s="65" t="s">
        <v>307</v>
      </c>
      <c r="G162" s="65"/>
      <c r="H162" s="65"/>
      <c r="I162" s="65"/>
      <c r="J162" s="65"/>
      <c r="K162" s="65"/>
      <c r="L162" s="65" t="s">
        <v>116</v>
      </c>
      <c r="M162" s="65" t="s">
        <v>117</v>
      </c>
      <c r="N162" s="65" t="s">
        <v>118</v>
      </c>
      <c r="O162" s="249" t="s">
        <v>333</v>
      </c>
      <c r="P162" s="154">
        <v>34000000</v>
      </c>
      <c r="Q162" s="154">
        <v>0</v>
      </c>
      <c r="R162" s="154">
        <v>0</v>
      </c>
      <c r="S162" s="154">
        <v>34000000</v>
      </c>
      <c r="T162" s="154">
        <v>0</v>
      </c>
      <c r="U162" s="154">
        <v>0</v>
      </c>
      <c r="V162" s="154">
        <v>34000000</v>
      </c>
      <c r="W162" s="154">
        <v>0</v>
      </c>
      <c r="X162" s="154">
        <v>0</v>
      </c>
      <c r="Y162" s="154">
        <v>0</v>
      </c>
      <c r="Z162" s="154">
        <v>0</v>
      </c>
    </row>
    <row r="163" spans="1:26" s="141" customFormat="1" ht="101.25">
      <c r="A163" s="65" t="s">
        <v>67</v>
      </c>
      <c r="B163" s="249" t="s">
        <v>406</v>
      </c>
      <c r="C163" s="250" t="s">
        <v>376</v>
      </c>
      <c r="D163" s="65" t="s">
        <v>16</v>
      </c>
      <c r="E163" s="65" t="s">
        <v>138</v>
      </c>
      <c r="F163" s="65" t="s">
        <v>132</v>
      </c>
      <c r="G163" s="65" t="s">
        <v>123</v>
      </c>
      <c r="H163" s="65" t="s">
        <v>84</v>
      </c>
      <c r="I163" s="65" t="s">
        <v>84</v>
      </c>
      <c r="J163" s="65" t="s">
        <v>84</v>
      </c>
      <c r="K163" s="65" t="s">
        <v>84</v>
      </c>
      <c r="L163" s="65" t="s">
        <v>116</v>
      </c>
      <c r="M163" s="65" t="s">
        <v>127</v>
      </c>
      <c r="N163" s="65" t="s">
        <v>126</v>
      </c>
      <c r="O163" s="249" t="s">
        <v>533</v>
      </c>
      <c r="P163" s="154">
        <v>1900594103</v>
      </c>
      <c r="Q163" s="154">
        <v>0</v>
      </c>
      <c r="R163" s="154">
        <v>0</v>
      </c>
      <c r="S163" s="154">
        <v>1900594103</v>
      </c>
      <c r="T163" s="154">
        <v>0</v>
      </c>
      <c r="U163" s="154">
        <v>1900594103</v>
      </c>
      <c r="V163" s="154">
        <v>0</v>
      </c>
      <c r="W163" s="154">
        <v>0</v>
      </c>
      <c r="X163" s="154">
        <v>0</v>
      </c>
      <c r="Y163" s="154">
        <v>0</v>
      </c>
      <c r="Z163" s="154">
        <v>0</v>
      </c>
    </row>
    <row r="164" spans="1:26" s="141" customFormat="1" ht="33.75">
      <c r="A164" s="65" t="s">
        <v>63</v>
      </c>
      <c r="B164" s="249" t="s">
        <v>407</v>
      </c>
      <c r="C164" s="250" t="s">
        <v>306</v>
      </c>
      <c r="D164" s="65" t="s">
        <v>11</v>
      </c>
      <c r="E164" s="65" t="s">
        <v>307</v>
      </c>
      <c r="F164" s="65" t="s">
        <v>307</v>
      </c>
      <c r="G164" s="65" t="s">
        <v>307</v>
      </c>
      <c r="H164" s="65"/>
      <c r="I164" s="65"/>
      <c r="J164" s="65"/>
      <c r="K164" s="65"/>
      <c r="L164" s="65" t="s">
        <v>116</v>
      </c>
      <c r="M164" s="65" t="s">
        <v>117</v>
      </c>
      <c r="N164" s="65" t="s">
        <v>118</v>
      </c>
      <c r="O164" s="249" t="s">
        <v>308</v>
      </c>
      <c r="P164" s="154">
        <v>2212000000</v>
      </c>
      <c r="Q164" s="154">
        <v>0</v>
      </c>
      <c r="R164" s="154">
        <v>0</v>
      </c>
      <c r="S164" s="154">
        <v>2212000000</v>
      </c>
      <c r="T164" s="154">
        <v>0</v>
      </c>
      <c r="U164" s="154">
        <v>470000000</v>
      </c>
      <c r="V164" s="154">
        <v>1742000000</v>
      </c>
      <c r="W164" s="154">
        <v>470000000</v>
      </c>
      <c r="X164" s="154">
        <v>470000000</v>
      </c>
      <c r="Y164" s="154">
        <v>470000000</v>
      </c>
      <c r="Z164" s="154">
        <v>470000000</v>
      </c>
    </row>
    <row r="165" spans="1:26" s="141" customFormat="1" ht="33.75">
      <c r="A165" s="65" t="s">
        <v>63</v>
      </c>
      <c r="B165" s="249" t="s">
        <v>407</v>
      </c>
      <c r="C165" s="250" t="s">
        <v>309</v>
      </c>
      <c r="D165" s="65" t="s">
        <v>11</v>
      </c>
      <c r="E165" s="65" t="s">
        <v>307</v>
      </c>
      <c r="F165" s="65" t="s">
        <v>307</v>
      </c>
      <c r="G165" s="65" t="s">
        <v>310</v>
      </c>
      <c r="H165" s="65"/>
      <c r="I165" s="65"/>
      <c r="J165" s="65"/>
      <c r="K165" s="65"/>
      <c r="L165" s="65" t="s">
        <v>116</v>
      </c>
      <c r="M165" s="65" t="s">
        <v>117</v>
      </c>
      <c r="N165" s="65" t="s">
        <v>118</v>
      </c>
      <c r="O165" s="249" t="s">
        <v>311</v>
      </c>
      <c r="P165" s="154">
        <v>583000000</v>
      </c>
      <c r="Q165" s="154">
        <v>0</v>
      </c>
      <c r="R165" s="154">
        <v>0</v>
      </c>
      <c r="S165" s="154">
        <v>583000000</v>
      </c>
      <c r="T165" s="154">
        <v>0</v>
      </c>
      <c r="U165" s="154">
        <v>222000000</v>
      </c>
      <c r="V165" s="154">
        <v>361000000</v>
      </c>
      <c r="W165" s="154">
        <v>222000000</v>
      </c>
      <c r="X165" s="154">
        <v>222000000</v>
      </c>
      <c r="Y165" s="154">
        <v>222000000</v>
      </c>
      <c r="Z165" s="154">
        <v>222000000</v>
      </c>
    </row>
    <row r="166" spans="1:26" s="141" customFormat="1" ht="33.75">
      <c r="A166" s="65" t="s">
        <v>63</v>
      </c>
      <c r="B166" s="249" t="s">
        <v>407</v>
      </c>
      <c r="C166" s="250" t="s">
        <v>312</v>
      </c>
      <c r="D166" s="65" t="s">
        <v>11</v>
      </c>
      <c r="E166" s="65" t="s">
        <v>307</v>
      </c>
      <c r="F166" s="65" t="s">
        <v>307</v>
      </c>
      <c r="G166" s="65" t="s">
        <v>313</v>
      </c>
      <c r="H166" s="65"/>
      <c r="I166" s="65"/>
      <c r="J166" s="65"/>
      <c r="K166" s="65"/>
      <c r="L166" s="65" t="s">
        <v>116</v>
      </c>
      <c r="M166" s="65" t="s">
        <v>117</v>
      </c>
      <c r="N166" s="65" t="s">
        <v>118</v>
      </c>
      <c r="O166" s="249" t="s">
        <v>314</v>
      </c>
      <c r="P166" s="154">
        <v>323000000</v>
      </c>
      <c r="Q166" s="154">
        <v>0</v>
      </c>
      <c r="R166" s="154">
        <v>0</v>
      </c>
      <c r="S166" s="154">
        <v>323000000</v>
      </c>
      <c r="T166" s="154">
        <v>0</v>
      </c>
      <c r="U166" s="154">
        <v>58000000</v>
      </c>
      <c r="V166" s="154">
        <v>265000000</v>
      </c>
      <c r="W166" s="154">
        <v>58000000</v>
      </c>
      <c r="X166" s="154">
        <v>58000000</v>
      </c>
      <c r="Y166" s="154">
        <v>58000000</v>
      </c>
      <c r="Z166" s="154">
        <v>58000000</v>
      </c>
    </row>
    <row r="167" spans="1:26" s="141" customFormat="1" ht="33.75">
      <c r="A167" s="65" t="s">
        <v>63</v>
      </c>
      <c r="B167" s="249" t="s">
        <v>407</v>
      </c>
      <c r="C167" s="250" t="s">
        <v>432</v>
      </c>
      <c r="D167" s="65" t="s">
        <v>11</v>
      </c>
      <c r="E167" s="65" t="s">
        <v>310</v>
      </c>
      <c r="F167" s="65"/>
      <c r="G167" s="65"/>
      <c r="H167" s="65"/>
      <c r="I167" s="65"/>
      <c r="J167" s="65"/>
      <c r="K167" s="65"/>
      <c r="L167" s="65" t="s">
        <v>116</v>
      </c>
      <c r="M167" s="65" t="s">
        <v>117</v>
      </c>
      <c r="N167" s="65" t="s">
        <v>118</v>
      </c>
      <c r="O167" s="249" t="s">
        <v>433</v>
      </c>
      <c r="P167" s="154">
        <v>50000000</v>
      </c>
      <c r="Q167" s="154">
        <v>0</v>
      </c>
      <c r="R167" s="154">
        <v>0</v>
      </c>
      <c r="S167" s="154">
        <v>50000000</v>
      </c>
      <c r="T167" s="154">
        <v>0</v>
      </c>
      <c r="U167" s="154">
        <v>13000000</v>
      </c>
      <c r="V167" s="154">
        <v>37000000</v>
      </c>
      <c r="W167" s="154">
        <v>13000000</v>
      </c>
      <c r="X167" s="154">
        <v>13000000</v>
      </c>
      <c r="Y167" s="154">
        <v>13000000</v>
      </c>
      <c r="Z167" s="154">
        <v>13000000</v>
      </c>
    </row>
    <row r="168" spans="1:26" s="141" customFormat="1" ht="33.75">
      <c r="A168" s="65" t="s">
        <v>63</v>
      </c>
      <c r="B168" s="249" t="s">
        <v>407</v>
      </c>
      <c r="C168" s="250" t="s">
        <v>294</v>
      </c>
      <c r="D168" s="65" t="s">
        <v>11</v>
      </c>
      <c r="E168" s="65" t="s">
        <v>332</v>
      </c>
      <c r="F168" s="65" t="s">
        <v>318</v>
      </c>
      <c r="G168" s="65" t="s">
        <v>307</v>
      </c>
      <c r="H168" s="65"/>
      <c r="I168" s="65"/>
      <c r="J168" s="65"/>
      <c r="K168" s="65"/>
      <c r="L168" s="65" t="s">
        <v>116</v>
      </c>
      <c r="M168" s="65" t="s">
        <v>125</v>
      </c>
      <c r="N168" s="65" t="s">
        <v>126</v>
      </c>
      <c r="O168" s="249" t="s">
        <v>334</v>
      </c>
      <c r="P168" s="154">
        <v>7000000</v>
      </c>
      <c r="Q168" s="154">
        <v>0</v>
      </c>
      <c r="R168" s="154">
        <v>0</v>
      </c>
      <c r="S168" s="154">
        <v>7000000</v>
      </c>
      <c r="T168" s="154">
        <v>0</v>
      </c>
      <c r="U168" s="154">
        <v>0</v>
      </c>
      <c r="V168" s="154">
        <v>7000000</v>
      </c>
      <c r="W168" s="154">
        <v>0</v>
      </c>
      <c r="X168" s="154">
        <v>0</v>
      </c>
      <c r="Y168" s="154">
        <v>0</v>
      </c>
      <c r="Z168" s="154">
        <v>0</v>
      </c>
    </row>
    <row r="169" spans="1:26" s="141" customFormat="1" ht="33.75">
      <c r="A169" s="65" t="s">
        <v>63</v>
      </c>
      <c r="B169" s="249" t="s">
        <v>407</v>
      </c>
      <c r="C169" s="250" t="s">
        <v>436</v>
      </c>
      <c r="D169" s="65" t="s">
        <v>430</v>
      </c>
      <c r="E169" s="65" t="s">
        <v>117</v>
      </c>
      <c r="F169" s="65" t="s">
        <v>318</v>
      </c>
      <c r="G169" s="65" t="s">
        <v>307</v>
      </c>
      <c r="H169" s="65"/>
      <c r="I169" s="65"/>
      <c r="J169" s="65"/>
      <c r="K169" s="65"/>
      <c r="L169" s="65" t="s">
        <v>116</v>
      </c>
      <c r="M169" s="65" t="s">
        <v>125</v>
      </c>
      <c r="N169" s="65" t="s">
        <v>118</v>
      </c>
      <c r="O169" s="249" t="s">
        <v>437</v>
      </c>
      <c r="P169" s="154">
        <v>516190110</v>
      </c>
      <c r="Q169" s="154">
        <v>0</v>
      </c>
      <c r="R169" s="154">
        <v>0</v>
      </c>
      <c r="S169" s="154">
        <v>516190110</v>
      </c>
      <c r="T169" s="154">
        <v>0</v>
      </c>
      <c r="U169" s="154">
        <v>0</v>
      </c>
      <c r="V169" s="154">
        <v>516190110</v>
      </c>
      <c r="W169" s="154">
        <v>0</v>
      </c>
      <c r="X169" s="154">
        <v>0</v>
      </c>
      <c r="Y169" s="154">
        <v>0</v>
      </c>
      <c r="Z169" s="154">
        <v>0</v>
      </c>
    </row>
    <row r="170" spans="1:26" s="141" customFormat="1" ht="22.5">
      <c r="A170" s="65" t="s">
        <v>75</v>
      </c>
      <c r="B170" s="249" t="s">
        <v>408</v>
      </c>
      <c r="C170" s="250" t="s">
        <v>306</v>
      </c>
      <c r="D170" s="65" t="s">
        <v>11</v>
      </c>
      <c r="E170" s="65" t="s">
        <v>307</v>
      </c>
      <c r="F170" s="65" t="s">
        <v>307</v>
      </c>
      <c r="G170" s="65" t="s">
        <v>307</v>
      </c>
      <c r="H170" s="65"/>
      <c r="I170" s="65"/>
      <c r="J170" s="65"/>
      <c r="K170" s="65"/>
      <c r="L170" s="65" t="s">
        <v>116</v>
      </c>
      <c r="M170" s="65" t="s">
        <v>117</v>
      </c>
      <c r="N170" s="65" t="s">
        <v>118</v>
      </c>
      <c r="O170" s="249" t="s">
        <v>308</v>
      </c>
      <c r="P170" s="154">
        <v>5206000000</v>
      </c>
      <c r="Q170" s="154">
        <v>0</v>
      </c>
      <c r="R170" s="154">
        <v>0</v>
      </c>
      <c r="S170" s="154">
        <v>5206000000</v>
      </c>
      <c r="T170" s="154">
        <v>0</v>
      </c>
      <c r="U170" s="154">
        <v>5206000000</v>
      </c>
      <c r="V170" s="154">
        <v>0</v>
      </c>
      <c r="W170" s="154">
        <v>814547062</v>
      </c>
      <c r="X170" s="154">
        <v>814547062</v>
      </c>
      <c r="Y170" s="154">
        <v>814547062</v>
      </c>
      <c r="Z170" s="154">
        <v>814547062</v>
      </c>
    </row>
    <row r="171" spans="1:26" s="141" customFormat="1" ht="22.5">
      <c r="A171" s="65" t="s">
        <v>75</v>
      </c>
      <c r="B171" s="249" t="s">
        <v>408</v>
      </c>
      <c r="C171" s="250" t="s">
        <v>309</v>
      </c>
      <c r="D171" s="65" t="s">
        <v>11</v>
      </c>
      <c r="E171" s="65" t="s">
        <v>307</v>
      </c>
      <c r="F171" s="65" t="s">
        <v>307</v>
      </c>
      <c r="G171" s="65" t="s">
        <v>310</v>
      </c>
      <c r="H171" s="65"/>
      <c r="I171" s="65"/>
      <c r="J171" s="65"/>
      <c r="K171" s="65"/>
      <c r="L171" s="65" t="s">
        <v>116</v>
      </c>
      <c r="M171" s="65" t="s">
        <v>117</v>
      </c>
      <c r="N171" s="65" t="s">
        <v>118</v>
      </c>
      <c r="O171" s="249" t="s">
        <v>311</v>
      </c>
      <c r="P171" s="154">
        <v>1000000000</v>
      </c>
      <c r="Q171" s="154">
        <v>0</v>
      </c>
      <c r="R171" s="154">
        <v>0</v>
      </c>
      <c r="S171" s="154">
        <v>1000000000</v>
      </c>
      <c r="T171" s="154">
        <v>0</v>
      </c>
      <c r="U171" s="154">
        <v>1000000000</v>
      </c>
      <c r="V171" s="154">
        <v>0</v>
      </c>
      <c r="W171" s="154">
        <v>511391115</v>
      </c>
      <c r="X171" s="154">
        <v>511391115</v>
      </c>
      <c r="Y171" s="154">
        <v>511391115</v>
      </c>
      <c r="Z171" s="154">
        <v>511391115</v>
      </c>
    </row>
    <row r="172" spans="1:26" s="141" customFormat="1" ht="33.75">
      <c r="A172" s="65" t="s">
        <v>75</v>
      </c>
      <c r="B172" s="249" t="s">
        <v>408</v>
      </c>
      <c r="C172" s="250" t="s">
        <v>312</v>
      </c>
      <c r="D172" s="65" t="s">
        <v>11</v>
      </c>
      <c r="E172" s="65" t="s">
        <v>307</v>
      </c>
      <c r="F172" s="65" t="s">
        <v>307</v>
      </c>
      <c r="G172" s="65" t="s">
        <v>313</v>
      </c>
      <c r="H172" s="65"/>
      <c r="I172" s="65"/>
      <c r="J172" s="65"/>
      <c r="K172" s="65"/>
      <c r="L172" s="65" t="s">
        <v>116</v>
      </c>
      <c r="M172" s="65" t="s">
        <v>117</v>
      </c>
      <c r="N172" s="65" t="s">
        <v>118</v>
      </c>
      <c r="O172" s="249" t="s">
        <v>314</v>
      </c>
      <c r="P172" s="154">
        <v>70000000</v>
      </c>
      <c r="Q172" s="154">
        <v>0</v>
      </c>
      <c r="R172" s="154">
        <v>0</v>
      </c>
      <c r="S172" s="154">
        <v>70000000</v>
      </c>
      <c r="T172" s="154">
        <v>0</v>
      </c>
      <c r="U172" s="154">
        <v>70000000</v>
      </c>
      <c r="V172" s="154">
        <v>0</v>
      </c>
      <c r="W172" s="154">
        <v>47099461</v>
      </c>
      <c r="X172" s="154">
        <v>47099461</v>
      </c>
      <c r="Y172" s="154">
        <v>47099461</v>
      </c>
      <c r="Z172" s="154">
        <v>47099461</v>
      </c>
    </row>
    <row r="173" spans="1:26" s="141" customFormat="1" ht="22.5">
      <c r="A173" s="65" t="s">
        <v>75</v>
      </c>
      <c r="B173" s="249" t="s">
        <v>408</v>
      </c>
      <c r="C173" s="250" t="s">
        <v>432</v>
      </c>
      <c r="D173" s="65" t="s">
        <v>11</v>
      </c>
      <c r="E173" s="65" t="s">
        <v>310</v>
      </c>
      <c r="F173" s="65"/>
      <c r="G173" s="65"/>
      <c r="H173" s="65"/>
      <c r="I173" s="65"/>
      <c r="J173" s="65"/>
      <c r="K173" s="65"/>
      <c r="L173" s="65" t="s">
        <v>116</v>
      </c>
      <c r="M173" s="65" t="s">
        <v>117</v>
      </c>
      <c r="N173" s="65" t="s">
        <v>118</v>
      </c>
      <c r="O173" s="249" t="s">
        <v>433</v>
      </c>
      <c r="P173" s="154">
        <v>13000000</v>
      </c>
      <c r="Q173" s="154">
        <v>0</v>
      </c>
      <c r="R173" s="154">
        <v>0</v>
      </c>
      <c r="S173" s="154">
        <v>13000000</v>
      </c>
      <c r="T173" s="154">
        <v>0</v>
      </c>
      <c r="U173" s="154">
        <v>13000000</v>
      </c>
      <c r="V173" s="154">
        <v>0</v>
      </c>
      <c r="W173" s="154">
        <v>13000000</v>
      </c>
      <c r="X173" s="154">
        <v>0</v>
      </c>
      <c r="Y173" s="154">
        <v>0</v>
      </c>
      <c r="Z173" s="154">
        <v>0</v>
      </c>
    </row>
    <row r="174" spans="1:26" s="141" customFormat="1" ht="22.5">
      <c r="A174" s="65" t="s">
        <v>75</v>
      </c>
      <c r="B174" s="249" t="s">
        <v>408</v>
      </c>
      <c r="C174" s="250" t="s">
        <v>436</v>
      </c>
      <c r="D174" s="65" t="s">
        <v>430</v>
      </c>
      <c r="E174" s="65" t="s">
        <v>117</v>
      </c>
      <c r="F174" s="65" t="s">
        <v>318</v>
      </c>
      <c r="G174" s="65" t="s">
        <v>307</v>
      </c>
      <c r="H174" s="65"/>
      <c r="I174" s="65"/>
      <c r="J174" s="65"/>
      <c r="K174" s="65"/>
      <c r="L174" s="65" t="s">
        <v>116</v>
      </c>
      <c r="M174" s="65" t="s">
        <v>125</v>
      </c>
      <c r="N174" s="65" t="s">
        <v>118</v>
      </c>
      <c r="O174" s="249" t="s">
        <v>437</v>
      </c>
      <c r="P174" s="154">
        <v>330726656</v>
      </c>
      <c r="Q174" s="154">
        <v>0</v>
      </c>
      <c r="R174" s="154">
        <v>0</v>
      </c>
      <c r="S174" s="154">
        <v>330726656</v>
      </c>
      <c r="T174" s="154">
        <v>0</v>
      </c>
      <c r="U174" s="154">
        <v>0</v>
      </c>
      <c r="V174" s="154">
        <v>330726656</v>
      </c>
      <c r="W174" s="154">
        <v>0</v>
      </c>
      <c r="X174" s="154">
        <v>0</v>
      </c>
      <c r="Y174" s="154">
        <v>0</v>
      </c>
      <c r="Z174" s="154">
        <v>0</v>
      </c>
    </row>
    <row r="175" spans="1:26" s="141" customFormat="1" ht="33.75">
      <c r="A175" s="65" t="s">
        <v>60</v>
      </c>
      <c r="B175" s="249" t="s">
        <v>409</v>
      </c>
      <c r="C175" s="250" t="s">
        <v>306</v>
      </c>
      <c r="D175" s="65" t="s">
        <v>11</v>
      </c>
      <c r="E175" s="65" t="s">
        <v>307</v>
      </c>
      <c r="F175" s="65" t="s">
        <v>307</v>
      </c>
      <c r="G175" s="65" t="s">
        <v>307</v>
      </c>
      <c r="H175" s="65"/>
      <c r="I175" s="65"/>
      <c r="J175" s="65"/>
      <c r="K175" s="65"/>
      <c r="L175" s="65" t="s">
        <v>116</v>
      </c>
      <c r="M175" s="65" t="s">
        <v>117</v>
      </c>
      <c r="N175" s="65" t="s">
        <v>118</v>
      </c>
      <c r="O175" s="249" t="s">
        <v>308</v>
      </c>
      <c r="P175" s="154">
        <v>4012700000</v>
      </c>
      <c r="Q175" s="154">
        <v>0</v>
      </c>
      <c r="R175" s="154">
        <v>0</v>
      </c>
      <c r="S175" s="154">
        <v>4012700000</v>
      </c>
      <c r="T175" s="154">
        <v>0</v>
      </c>
      <c r="U175" s="154">
        <v>969863101</v>
      </c>
      <c r="V175" s="154">
        <v>3042836899</v>
      </c>
      <c r="W175" s="154">
        <v>969863101</v>
      </c>
      <c r="X175" s="154">
        <v>969863101</v>
      </c>
      <c r="Y175" s="154">
        <v>969863101</v>
      </c>
      <c r="Z175" s="154">
        <v>969863101</v>
      </c>
    </row>
    <row r="176" spans="1:26" s="141" customFormat="1" ht="33.75">
      <c r="A176" s="65" t="s">
        <v>60</v>
      </c>
      <c r="B176" s="249" t="s">
        <v>409</v>
      </c>
      <c r="C176" s="250" t="s">
        <v>309</v>
      </c>
      <c r="D176" s="65" t="s">
        <v>11</v>
      </c>
      <c r="E176" s="65" t="s">
        <v>307</v>
      </c>
      <c r="F176" s="65" t="s">
        <v>307</v>
      </c>
      <c r="G176" s="65" t="s">
        <v>310</v>
      </c>
      <c r="H176" s="65"/>
      <c r="I176" s="65"/>
      <c r="J176" s="65"/>
      <c r="K176" s="65"/>
      <c r="L176" s="65" t="s">
        <v>116</v>
      </c>
      <c r="M176" s="65" t="s">
        <v>117</v>
      </c>
      <c r="N176" s="65" t="s">
        <v>118</v>
      </c>
      <c r="O176" s="249" t="s">
        <v>311</v>
      </c>
      <c r="P176" s="154">
        <v>1053700000</v>
      </c>
      <c r="Q176" s="154">
        <v>0</v>
      </c>
      <c r="R176" s="154">
        <v>0</v>
      </c>
      <c r="S176" s="154">
        <v>1053700000</v>
      </c>
      <c r="T176" s="154">
        <v>0</v>
      </c>
      <c r="U176" s="154">
        <v>270821698</v>
      </c>
      <c r="V176" s="154">
        <v>782878302</v>
      </c>
      <c r="W176" s="154">
        <v>270821698</v>
      </c>
      <c r="X176" s="154">
        <v>270821698</v>
      </c>
      <c r="Y176" s="154">
        <v>177393098</v>
      </c>
      <c r="Z176" s="154">
        <v>177393098</v>
      </c>
    </row>
    <row r="177" spans="1:26" s="141" customFormat="1" ht="33.75">
      <c r="A177" s="65" t="s">
        <v>60</v>
      </c>
      <c r="B177" s="249" t="s">
        <v>409</v>
      </c>
      <c r="C177" s="250" t="s">
        <v>312</v>
      </c>
      <c r="D177" s="65" t="s">
        <v>11</v>
      </c>
      <c r="E177" s="65" t="s">
        <v>307</v>
      </c>
      <c r="F177" s="65" t="s">
        <v>307</v>
      </c>
      <c r="G177" s="65" t="s">
        <v>313</v>
      </c>
      <c r="H177" s="65"/>
      <c r="I177" s="65"/>
      <c r="J177" s="65"/>
      <c r="K177" s="65"/>
      <c r="L177" s="65" t="s">
        <v>116</v>
      </c>
      <c r="M177" s="65" t="s">
        <v>117</v>
      </c>
      <c r="N177" s="65" t="s">
        <v>118</v>
      </c>
      <c r="O177" s="249" t="s">
        <v>314</v>
      </c>
      <c r="P177" s="154">
        <v>89500000</v>
      </c>
      <c r="Q177" s="154">
        <v>0</v>
      </c>
      <c r="R177" s="154">
        <v>0</v>
      </c>
      <c r="S177" s="154">
        <v>89500000</v>
      </c>
      <c r="T177" s="154">
        <v>0</v>
      </c>
      <c r="U177" s="154">
        <v>17779261</v>
      </c>
      <c r="V177" s="154">
        <v>71720739</v>
      </c>
      <c r="W177" s="154">
        <v>17779261</v>
      </c>
      <c r="X177" s="154">
        <v>17779261</v>
      </c>
      <c r="Y177" s="154">
        <v>17779261</v>
      </c>
      <c r="Z177" s="154">
        <v>17779261</v>
      </c>
    </row>
    <row r="178" spans="1:26" s="141" customFormat="1" ht="33.75">
      <c r="A178" s="65" t="s">
        <v>60</v>
      </c>
      <c r="B178" s="249" t="s">
        <v>409</v>
      </c>
      <c r="C178" s="250" t="s">
        <v>432</v>
      </c>
      <c r="D178" s="65" t="s">
        <v>11</v>
      </c>
      <c r="E178" s="65" t="s">
        <v>310</v>
      </c>
      <c r="F178" s="65"/>
      <c r="G178" s="65"/>
      <c r="H178" s="65"/>
      <c r="I178" s="65"/>
      <c r="J178" s="65"/>
      <c r="K178" s="65"/>
      <c r="L178" s="65" t="s">
        <v>116</v>
      </c>
      <c r="M178" s="65" t="s">
        <v>117</v>
      </c>
      <c r="N178" s="65" t="s">
        <v>118</v>
      </c>
      <c r="O178" s="249" t="s">
        <v>433</v>
      </c>
      <c r="P178" s="154">
        <v>69273600</v>
      </c>
      <c r="Q178" s="154">
        <v>0</v>
      </c>
      <c r="R178" s="154">
        <v>0</v>
      </c>
      <c r="S178" s="154">
        <v>69273600</v>
      </c>
      <c r="T178" s="154">
        <v>0</v>
      </c>
      <c r="U178" s="154">
        <v>69273600</v>
      </c>
      <c r="V178" s="154">
        <v>0</v>
      </c>
      <c r="W178" s="154">
        <v>0</v>
      </c>
      <c r="X178" s="154">
        <v>0</v>
      </c>
      <c r="Y178" s="154">
        <v>0</v>
      </c>
      <c r="Z178" s="154">
        <v>0</v>
      </c>
    </row>
    <row r="179" spans="1:26" s="141" customFormat="1" ht="33.75">
      <c r="A179" s="65" t="s">
        <v>60</v>
      </c>
      <c r="B179" s="249" t="s">
        <v>409</v>
      </c>
      <c r="C179" s="250" t="s">
        <v>298</v>
      </c>
      <c r="D179" s="65" t="s">
        <v>11</v>
      </c>
      <c r="E179" s="65" t="s">
        <v>332</v>
      </c>
      <c r="F179" s="65" t="s">
        <v>307</v>
      </c>
      <c r="G179" s="65"/>
      <c r="H179" s="65"/>
      <c r="I179" s="65"/>
      <c r="J179" s="65"/>
      <c r="K179" s="65"/>
      <c r="L179" s="65" t="s">
        <v>116</v>
      </c>
      <c r="M179" s="65" t="s">
        <v>117</v>
      </c>
      <c r="N179" s="65" t="s">
        <v>118</v>
      </c>
      <c r="O179" s="249" t="s">
        <v>333</v>
      </c>
      <c r="P179" s="154">
        <v>3168000</v>
      </c>
      <c r="Q179" s="154">
        <v>0</v>
      </c>
      <c r="R179" s="154">
        <v>0</v>
      </c>
      <c r="S179" s="154">
        <v>3168000</v>
      </c>
      <c r="T179" s="154">
        <v>0</v>
      </c>
      <c r="U179" s="154">
        <v>0</v>
      </c>
      <c r="V179" s="154">
        <v>3168000</v>
      </c>
      <c r="W179" s="154">
        <v>0</v>
      </c>
      <c r="X179" s="154">
        <v>0</v>
      </c>
      <c r="Y179" s="154">
        <v>0</v>
      </c>
      <c r="Z179" s="154">
        <v>0</v>
      </c>
    </row>
    <row r="180" spans="1:26" s="141" customFormat="1" ht="33.75">
      <c r="A180" s="65" t="s">
        <v>60</v>
      </c>
      <c r="B180" s="249" t="s">
        <v>409</v>
      </c>
      <c r="C180" s="250" t="s">
        <v>294</v>
      </c>
      <c r="D180" s="65" t="s">
        <v>11</v>
      </c>
      <c r="E180" s="65" t="s">
        <v>332</v>
      </c>
      <c r="F180" s="65" t="s">
        <v>318</v>
      </c>
      <c r="G180" s="65" t="s">
        <v>307</v>
      </c>
      <c r="H180" s="65"/>
      <c r="I180" s="65"/>
      <c r="J180" s="65"/>
      <c r="K180" s="65"/>
      <c r="L180" s="65" t="s">
        <v>116</v>
      </c>
      <c r="M180" s="65" t="s">
        <v>125</v>
      </c>
      <c r="N180" s="65" t="s">
        <v>126</v>
      </c>
      <c r="O180" s="249" t="s">
        <v>334</v>
      </c>
      <c r="P180" s="154">
        <v>16684800</v>
      </c>
      <c r="Q180" s="154">
        <v>0</v>
      </c>
      <c r="R180" s="154">
        <v>0</v>
      </c>
      <c r="S180" s="154">
        <v>16684800</v>
      </c>
      <c r="T180" s="154">
        <v>0</v>
      </c>
      <c r="U180" s="154">
        <v>0</v>
      </c>
      <c r="V180" s="154">
        <v>16684800</v>
      </c>
      <c r="W180" s="154">
        <v>0</v>
      </c>
      <c r="X180" s="154">
        <v>0</v>
      </c>
      <c r="Y180" s="154">
        <v>0</v>
      </c>
      <c r="Z180" s="154">
        <v>0</v>
      </c>
    </row>
    <row r="181" spans="1:26" s="141" customFormat="1" ht="33.75">
      <c r="A181" s="65" t="s">
        <v>60</v>
      </c>
      <c r="B181" s="249" t="s">
        <v>409</v>
      </c>
      <c r="C181" s="250" t="s">
        <v>436</v>
      </c>
      <c r="D181" s="65" t="s">
        <v>430</v>
      </c>
      <c r="E181" s="65" t="s">
        <v>117</v>
      </c>
      <c r="F181" s="65" t="s">
        <v>318</v>
      </c>
      <c r="G181" s="65" t="s">
        <v>307</v>
      </c>
      <c r="H181" s="65"/>
      <c r="I181" s="65"/>
      <c r="J181" s="65"/>
      <c r="K181" s="65"/>
      <c r="L181" s="65" t="s">
        <v>116</v>
      </c>
      <c r="M181" s="65" t="s">
        <v>125</v>
      </c>
      <c r="N181" s="65" t="s">
        <v>118</v>
      </c>
      <c r="O181" s="249" t="s">
        <v>437</v>
      </c>
      <c r="P181" s="154">
        <v>99377873</v>
      </c>
      <c r="Q181" s="154">
        <v>0</v>
      </c>
      <c r="R181" s="154">
        <v>0</v>
      </c>
      <c r="S181" s="154">
        <v>99377873</v>
      </c>
      <c r="T181" s="154">
        <v>0</v>
      </c>
      <c r="U181" s="154">
        <v>0</v>
      </c>
      <c r="V181" s="154">
        <v>99377873</v>
      </c>
      <c r="W181" s="154">
        <v>0</v>
      </c>
      <c r="X181" s="154">
        <v>0</v>
      </c>
      <c r="Y181" s="154">
        <v>0</v>
      </c>
      <c r="Z181" s="154">
        <v>0</v>
      </c>
    </row>
    <row r="182" spans="1:26" s="141" customFormat="1" ht="45">
      <c r="A182" s="65" t="s">
        <v>61</v>
      </c>
      <c r="B182" s="249" t="s">
        <v>410</v>
      </c>
      <c r="C182" s="250" t="s">
        <v>306</v>
      </c>
      <c r="D182" s="65" t="s">
        <v>11</v>
      </c>
      <c r="E182" s="65" t="s">
        <v>307</v>
      </c>
      <c r="F182" s="65" t="s">
        <v>307</v>
      </c>
      <c r="G182" s="65" t="s">
        <v>307</v>
      </c>
      <c r="H182" s="65"/>
      <c r="I182" s="65"/>
      <c r="J182" s="65"/>
      <c r="K182" s="65"/>
      <c r="L182" s="65" t="s">
        <v>116</v>
      </c>
      <c r="M182" s="65" t="s">
        <v>117</v>
      </c>
      <c r="N182" s="65" t="s">
        <v>118</v>
      </c>
      <c r="O182" s="249" t="s">
        <v>308</v>
      </c>
      <c r="P182" s="154">
        <v>1363100000</v>
      </c>
      <c r="Q182" s="154">
        <v>0</v>
      </c>
      <c r="R182" s="154">
        <v>0</v>
      </c>
      <c r="S182" s="154">
        <v>1363100000</v>
      </c>
      <c r="T182" s="154">
        <v>0</v>
      </c>
      <c r="U182" s="154">
        <v>197737872</v>
      </c>
      <c r="V182" s="154">
        <v>1165362128</v>
      </c>
      <c r="W182" s="154">
        <v>197737872</v>
      </c>
      <c r="X182" s="154">
        <v>197737872</v>
      </c>
      <c r="Y182" s="154">
        <v>0</v>
      </c>
      <c r="Z182" s="154">
        <v>0</v>
      </c>
    </row>
    <row r="183" spans="1:26" s="141" customFormat="1" ht="45">
      <c r="A183" s="65" t="s">
        <v>61</v>
      </c>
      <c r="B183" s="249" t="s">
        <v>410</v>
      </c>
      <c r="C183" s="250" t="s">
        <v>309</v>
      </c>
      <c r="D183" s="65" t="s">
        <v>11</v>
      </c>
      <c r="E183" s="65" t="s">
        <v>307</v>
      </c>
      <c r="F183" s="65" t="s">
        <v>307</v>
      </c>
      <c r="G183" s="65" t="s">
        <v>310</v>
      </c>
      <c r="H183" s="65"/>
      <c r="I183" s="65"/>
      <c r="J183" s="65"/>
      <c r="K183" s="65"/>
      <c r="L183" s="65" t="s">
        <v>116</v>
      </c>
      <c r="M183" s="65" t="s">
        <v>117</v>
      </c>
      <c r="N183" s="65" t="s">
        <v>118</v>
      </c>
      <c r="O183" s="249" t="s">
        <v>311</v>
      </c>
      <c r="P183" s="154">
        <v>566900000</v>
      </c>
      <c r="Q183" s="154">
        <v>0</v>
      </c>
      <c r="R183" s="154">
        <v>0</v>
      </c>
      <c r="S183" s="154">
        <v>566900000</v>
      </c>
      <c r="T183" s="154">
        <v>0</v>
      </c>
      <c r="U183" s="154">
        <v>0</v>
      </c>
      <c r="V183" s="154">
        <v>566900000</v>
      </c>
      <c r="W183" s="154">
        <v>0</v>
      </c>
      <c r="X183" s="154">
        <v>0</v>
      </c>
      <c r="Y183" s="154">
        <v>0</v>
      </c>
      <c r="Z183" s="154">
        <v>0</v>
      </c>
    </row>
    <row r="184" spans="1:26" s="141" customFormat="1" ht="45">
      <c r="A184" s="65" t="s">
        <v>61</v>
      </c>
      <c r="B184" s="249" t="s">
        <v>410</v>
      </c>
      <c r="C184" s="250" t="s">
        <v>312</v>
      </c>
      <c r="D184" s="65" t="s">
        <v>11</v>
      </c>
      <c r="E184" s="65" t="s">
        <v>307</v>
      </c>
      <c r="F184" s="65" t="s">
        <v>307</v>
      </c>
      <c r="G184" s="65" t="s">
        <v>313</v>
      </c>
      <c r="H184" s="65"/>
      <c r="I184" s="65"/>
      <c r="J184" s="65"/>
      <c r="K184" s="65"/>
      <c r="L184" s="65" t="s">
        <v>116</v>
      </c>
      <c r="M184" s="65" t="s">
        <v>117</v>
      </c>
      <c r="N184" s="65" t="s">
        <v>118</v>
      </c>
      <c r="O184" s="249" t="s">
        <v>314</v>
      </c>
      <c r="P184" s="154">
        <v>77000000</v>
      </c>
      <c r="Q184" s="154">
        <v>0</v>
      </c>
      <c r="R184" s="154">
        <v>0</v>
      </c>
      <c r="S184" s="154">
        <v>77000000</v>
      </c>
      <c r="T184" s="154">
        <v>0</v>
      </c>
      <c r="U184" s="154">
        <v>19022445</v>
      </c>
      <c r="V184" s="154">
        <v>57977555</v>
      </c>
      <c r="W184" s="154">
        <v>19022445</v>
      </c>
      <c r="X184" s="154">
        <v>19022445</v>
      </c>
      <c r="Y184" s="154">
        <v>0</v>
      </c>
      <c r="Z184" s="154">
        <v>0</v>
      </c>
    </row>
    <row r="185" spans="1:26" s="141" customFormat="1" ht="45">
      <c r="A185" s="65" t="s">
        <v>61</v>
      </c>
      <c r="B185" s="249" t="s">
        <v>410</v>
      </c>
      <c r="C185" s="250" t="s">
        <v>432</v>
      </c>
      <c r="D185" s="65" t="s">
        <v>11</v>
      </c>
      <c r="E185" s="65" t="s">
        <v>310</v>
      </c>
      <c r="F185" s="65"/>
      <c r="G185" s="65"/>
      <c r="H185" s="65"/>
      <c r="I185" s="65"/>
      <c r="J185" s="65"/>
      <c r="K185" s="65"/>
      <c r="L185" s="65" t="s">
        <v>116</v>
      </c>
      <c r="M185" s="65" t="s">
        <v>117</v>
      </c>
      <c r="N185" s="65" t="s">
        <v>118</v>
      </c>
      <c r="O185" s="249" t="s">
        <v>433</v>
      </c>
      <c r="P185" s="154">
        <v>430500000</v>
      </c>
      <c r="Q185" s="154">
        <v>0</v>
      </c>
      <c r="R185" s="154">
        <v>0</v>
      </c>
      <c r="S185" s="154">
        <v>430500000</v>
      </c>
      <c r="T185" s="154">
        <v>0</v>
      </c>
      <c r="U185" s="154">
        <v>303460000</v>
      </c>
      <c r="V185" s="154">
        <v>127040000</v>
      </c>
      <c r="W185" s="154">
        <v>224884811</v>
      </c>
      <c r="X185" s="154">
        <v>0</v>
      </c>
      <c r="Y185" s="154">
        <v>0</v>
      </c>
      <c r="Z185" s="154">
        <v>0</v>
      </c>
    </row>
    <row r="186" spans="1:26" s="141" customFormat="1" ht="45">
      <c r="A186" s="65" t="s">
        <v>61</v>
      </c>
      <c r="B186" s="249" t="s">
        <v>410</v>
      </c>
      <c r="C186" s="250" t="s">
        <v>294</v>
      </c>
      <c r="D186" s="65" t="s">
        <v>11</v>
      </c>
      <c r="E186" s="65" t="s">
        <v>332</v>
      </c>
      <c r="F186" s="65" t="s">
        <v>318</v>
      </c>
      <c r="G186" s="65" t="s">
        <v>307</v>
      </c>
      <c r="H186" s="65"/>
      <c r="I186" s="65"/>
      <c r="J186" s="65"/>
      <c r="K186" s="65"/>
      <c r="L186" s="65" t="s">
        <v>116</v>
      </c>
      <c r="M186" s="65" t="s">
        <v>125</v>
      </c>
      <c r="N186" s="65" t="s">
        <v>126</v>
      </c>
      <c r="O186" s="249" t="s">
        <v>334</v>
      </c>
      <c r="P186" s="154">
        <v>21000000</v>
      </c>
      <c r="Q186" s="154">
        <v>0</v>
      </c>
      <c r="R186" s="154">
        <v>0</v>
      </c>
      <c r="S186" s="154">
        <v>21000000</v>
      </c>
      <c r="T186" s="154">
        <v>0</v>
      </c>
      <c r="U186" s="154">
        <v>0</v>
      </c>
      <c r="V186" s="154">
        <v>21000000</v>
      </c>
      <c r="W186" s="154">
        <v>0</v>
      </c>
      <c r="X186" s="154">
        <v>0</v>
      </c>
      <c r="Y186" s="154">
        <v>0</v>
      </c>
      <c r="Z186" s="154">
        <v>0</v>
      </c>
    </row>
    <row r="187" spans="1:26" s="141" customFormat="1" ht="45">
      <c r="A187" s="65" t="s">
        <v>61</v>
      </c>
      <c r="B187" s="249" t="s">
        <v>410</v>
      </c>
      <c r="C187" s="250" t="s">
        <v>436</v>
      </c>
      <c r="D187" s="65" t="s">
        <v>430</v>
      </c>
      <c r="E187" s="65" t="s">
        <v>117</v>
      </c>
      <c r="F187" s="65" t="s">
        <v>318</v>
      </c>
      <c r="G187" s="65" t="s">
        <v>307</v>
      </c>
      <c r="H187" s="65"/>
      <c r="I187" s="65"/>
      <c r="J187" s="65"/>
      <c r="K187" s="65"/>
      <c r="L187" s="65" t="s">
        <v>116</v>
      </c>
      <c r="M187" s="65" t="s">
        <v>125</v>
      </c>
      <c r="N187" s="65" t="s">
        <v>118</v>
      </c>
      <c r="O187" s="249" t="s">
        <v>437</v>
      </c>
      <c r="P187" s="154">
        <v>538082962</v>
      </c>
      <c r="Q187" s="154">
        <v>0</v>
      </c>
      <c r="R187" s="154">
        <v>0</v>
      </c>
      <c r="S187" s="154">
        <v>538082962</v>
      </c>
      <c r="T187" s="154">
        <v>0</v>
      </c>
      <c r="U187" s="154">
        <v>0</v>
      </c>
      <c r="V187" s="154">
        <v>538082962</v>
      </c>
      <c r="W187" s="154">
        <v>0</v>
      </c>
      <c r="X187" s="154">
        <v>0</v>
      </c>
      <c r="Y187" s="154">
        <v>0</v>
      </c>
      <c r="Z187" s="154">
        <v>0</v>
      </c>
    </row>
    <row r="188" spans="1:26" s="141" customFormat="1" ht="45">
      <c r="A188" s="65" t="s">
        <v>56</v>
      </c>
      <c r="B188" s="249" t="s">
        <v>411</v>
      </c>
      <c r="C188" s="250" t="s">
        <v>306</v>
      </c>
      <c r="D188" s="65" t="s">
        <v>11</v>
      </c>
      <c r="E188" s="65" t="s">
        <v>307</v>
      </c>
      <c r="F188" s="65" t="s">
        <v>307</v>
      </c>
      <c r="G188" s="65" t="s">
        <v>307</v>
      </c>
      <c r="H188" s="65"/>
      <c r="I188" s="65"/>
      <c r="J188" s="65"/>
      <c r="K188" s="65"/>
      <c r="L188" s="65" t="s">
        <v>116</v>
      </c>
      <c r="M188" s="65" t="s">
        <v>117</v>
      </c>
      <c r="N188" s="65" t="s">
        <v>118</v>
      </c>
      <c r="O188" s="249" t="s">
        <v>308</v>
      </c>
      <c r="P188" s="154">
        <v>1868000000</v>
      </c>
      <c r="Q188" s="154">
        <v>0</v>
      </c>
      <c r="R188" s="154">
        <v>0</v>
      </c>
      <c r="S188" s="154">
        <v>1868000000</v>
      </c>
      <c r="T188" s="154">
        <v>0</v>
      </c>
      <c r="U188" s="154">
        <v>435915786</v>
      </c>
      <c r="V188" s="154">
        <v>1432084214</v>
      </c>
      <c r="W188" s="154">
        <v>435634353</v>
      </c>
      <c r="X188" s="154">
        <v>431767394</v>
      </c>
      <c r="Y188" s="154">
        <v>431767394</v>
      </c>
      <c r="Z188" s="154">
        <v>431767394</v>
      </c>
    </row>
    <row r="189" spans="1:26" s="141" customFormat="1" ht="45">
      <c r="A189" s="65" t="s">
        <v>56</v>
      </c>
      <c r="B189" s="249" t="s">
        <v>411</v>
      </c>
      <c r="C189" s="250" t="s">
        <v>309</v>
      </c>
      <c r="D189" s="65" t="s">
        <v>11</v>
      </c>
      <c r="E189" s="65" t="s">
        <v>307</v>
      </c>
      <c r="F189" s="65" t="s">
        <v>307</v>
      </c>
      <c r="G189" s="65" t="s">
        <v>310</v>
      </c>
      <c r="H189" s="65"/>
      <c r="I189" s="65"/>
      <c r="J189" s="65"/>
      <c r="K189" s="65"/>
      <c r="L189" s="65" t="s">
        <v>116</v>
      </c>
      <c r="M189" s="65" t="s">
        <v>117</v>
      </c>
      <c r="N189" s="65" t="s">
        <v>118</v>
      </c>
      <c r="O189" s="249" t="s">
        <v>311</v>
      </c>
      <c r="P189" s="154">
        <v>530000000</v>
      </c>
      <c r="Q189" s="154">
        <v>0</v>
      </c>
      <c r="R189" s="154">
        <v>0</v>
      </c>
      <c r="S189" s="154">
        <v>530000000</v>
      </c>
      <c r="T189" s="154">
        <v>0</v>
      </c>
      <c r="U189" s="154">
        <v>165869814</v>
      </c>
      <c r="V189" s="154">
        <v>364130186</v>
      </c>
      <c r="W189" s="154">
        <v>165869814</v>
      </c>
      <c r="X189" s="154">
        <v>165869814</v>
      </c>
      <c r="Y189" s="154">
        <v>165869814</v>
      </c>
      <c r="Z189" s="154">
        <v>165869814</v>
      </c>
    </row>
    <row r="190" spans="1:26" s="141" customFormat="1" ht="45">
      <c r="A190" s="65" t="s">
        <v>56</v>
      </c>
      <c r="B190" s="249" t="s">
        <v>411</v>
      </c>
      <c r="C190" s="250" t="s">
        <v>312</v>
      </c>
      <c r="D190" s="65" t="s">
        <v>11</v>
      </c>
      <c r="E190" s="65" t="s">
        <v>307</v>
      </c>
      <c r="F190" s="65" t="s">
        <v>307</v>
      </c>
      <c r="G190" s="65" t="s">
        <v>313</v>
      </c>
      <c r="H190" s="65"/>
      <c r="I190" s="65"/>
      <c r="J190" s="65"/>
      <c r="K190" s="65"/>
      <c r="L190" s="65" t="s">
        <v>116</v>
      </c>
      <c r="M190" s="65" t="s">
        <v>117</v>
      </c>
      <c r="N190" s="65" t="s">
        <v>118</v>
      </c>
      <c r="O190" s="249" t="s">
        <v>314</v>
      </c>
      <c r="P190" s="154">
        <v>132000000</v>
      </c>
      <c r="Q190" s="154">
        <v>0</v>
      </c>
      <c r="R190" s="154">
        <v>0</v>
      </c>
      <c r="S190" s="154">
        <v>132000000</v>
      </c>
      <c r="T190" s="154">
        <v>0</v>
      </c>
      <c r="U190" s="154">
        <v>65060825</v>
      </c>
      <c r="V190" s="154">
        <v>66939175</v>
      </c>
      <c r="W190" s="154">
        <v>65060825</v>
      </c>
      <c r="X190" s="154">
        <v>65060825</v>
      </c>
      <c r="Y190" s="154">
        <v>65060825</v>
      </c>
      <c r="Z190" s="154">
        <v>65060825</v>
      </c>
    </row>
    <row r="191" spans="1:26" s="141" customFormat="1" ht="45">
      <c r="A191" s="65" t="s">
        <v>56</v>
      </c>
      <c r="B191" s="249" t="s">
        <v>411</v>
      </c>
      <c r="C191" s="250" t="s">
        <v>432</v>
      </c>
      <c r="D191" s="65" t="s">
        <v>11</v>
      </c>
      <c r="E191" s="65" t="s">
        <v>310</v>
      </c>
      <c r="F191" s="65"/>
      <c r="G191" s="65"/>
      <c r="H191" s="65"/>
      <c r="I191" s="65"/>
      <c r="J191" s="65"/>
      <c r="K191" s="65"/>
      <c r="L191" s="65" t="s">
        <v>116</v>
      </c>
      <c r="M191" s="65" t="s">
        <v>117</v>
      </c>
      <c r="N191" s="65" t="s">
        <v>118</v>
      </c>
      <c r="O191" s="249" t="s">
        <v>433</v>
      </c>
      <c r="P191" s="154">
        <v>20000000</v>
      </c>
      <c r="Q191" s="154">
        <v>0</v>
      </c>
      <c r="R191" s="154">
        <v>0</v>
      </c>
      <c r="S191" s="154">
        <v>20000000</v>
      </c>
      <c r="T191" s="154">
        <v>0</v>
      </c>
      <c r="U191" s="154">
        <v>16801780</v>
      </c>
      <c r="V191" s="154">
        <v>3198220</v>
      </c>
      <c r="W191" s="154">
        <v>16801780</v>
      </c>
      <c r="X191" s="154">
        <v>6137667</v>
      </c>
      <c r="Y191" s="154">
        <v>6137667</v>
      </c>
      <c r="Z191" s="154">
        <v>6137667</v>
      </c>
    </row>
    <row r="192" spans="1:26" s="141" customFormat="1" ht="45">
      <c r="A192" s="65" t="s">
        <v>56</v>
      </c>
      <c r="B192" s="249" t="s">
        <v>411</v>
      </c>
      <c r="C192" s="250" t="s">
        <v>298</v>
      </c>
      <c r="D192" s="65" t="s">
        <v>11</v>
      </c>
      <c r="E192" s="65" t="s">
        <v>332</v>
      </c>
      <c r="F192" s="65" t="s">
        <v>307</v>
      </c>
      <c r="G192" s="65"/>
      <c r="H192" s="65"/>
      <c r="I192" s="65"/>
      <c r="J192" s="65"/>
      <c r="K192" s="65"/>
      <c r="L192" s="65" t="s">
        <v>116</v>
      </c>
      <c r="M192" s="65" t="s">
        <v>117</v>
      </c>
      <c r="N192" s="65" t="s">
        <v>118</v>
      </c>
      <c r="O192" s="249" t="s">
        <v>333</v>
      </c>
      <c r="P192" s="154">
        <v>3000000</v>
      </c>
      <c r="Q192" s="154">
        <v>0</v>
      </c>
      <c r="R192" s="154">
        <v>0</v>
      </c>
      <c r="S192" s="154">
        <v>3000000</v>
      </c>
      <c r="T192" s="154">
        <v>0</v>
      </c>
      <c r="U192" s="154">
        <v>0</v>
      </c>
      <c r="V192" s="154">
        <v>3000000</v>
      </c>
      <c r="W192" s="154">
        <v>0</v>
      </c>
      <c r="X192" s="154">
        <v>0</v>
      </c>
      <c r="Y192" s="154">
        <v>0</v>
      </c>
      <c r="Z192" s="154">
        <v>0</v>
      </c>
    </row>
    <row r="193" spans="1:26" s="141" customFormat="1" ht="45">
      <c r="A193" s="65" t="s">
        <v>56</v>
      </c>
      <c r="B193" s="249" t="s">
        <v>411</v>
      </c>
      <c r="C193" s="250" t="s">
        <v>294</v>
      </c>
      <c r="D193" s="65" t="s">
        <v>11</v>
      </c>
      <c r="E193" s="65" t="s">
        <v>332</v>
      </c>
      <c r="F193" s="65" t="s">
        <v>318</v>
      </c>
      <c r="G193" s="65" t="s">
        <v>307</v>
      </c>
      <c r="H193" s="65"/>
      <c r="I193" s="65"/>
      <c r="J193" s="65"/>
      <c r="K193" s="65"/>
      <c r="L193" s="65" t="s">
        <v>116</v>
      </c>
      <c r="M193" s="65" t="s">
        <v>125</v>
      </c>
      <c r="N193" s="65" t="s">
        <v>126</v>
      </c>
      <c r="O193" s="249" t="s">
        <v>334</v>
      </c>
      <c r="P193" s="154">
        <v>9000000</v>
      </c>
      <c r="Q193" s="154">
        <v>0</v>
      </c>
      <c r="R193" s="154">
        <v>0</v>
      </c>
      <c r="S193" s="154">
        <v>9000000</v>
      </c>
      <c r="T193" s="154">
        <v>0</v>
      </c>
      <c r="U193" s="154">
        <v>0</v>
      </c>
      <c r="V193" s="154">
        <v>9000000</v>
      </c>
      <c r="W193" s="154">
        <v>0</v>
      </c>
      <c r="X193" s="154">
        <v>0</v>
      </c>
      <c r="Y193" s="154">
        <v>0</v>
      </c>
      <c r="Z193" s="154">
        <v>0</v>
      </c>
    </row>
    <row r="194" spans="1:26" s="141" customFormat="1" ht="45">
      <c r="A194" s="65" t="s">
        <v>56</v>
      </c>
      <c r="B194" s="249" t="s">
        <v>411</v>
      </c>
      <c r="C194" s="250" t="s">
        <v>436</v>
      </c>
      <c r="D194" s="65" t="s">
        <v>430</v>
      </c>
      <c r="E194" s="65" t="s">
        <v>117</v>
      </c>
      <c r="F194" s="65" t="s">
        <v>318</v>
      </c>
      <c r="G194" s="65" t="s">
        <v>307</v>
      </c>
      <c r="H194" s="65"/>
      <c r="I194" s="65"/>
      <c r="J194" s="65"/>
      <c r="K194" s="65"/>
      <c r="L194" s="65" t="s">
        <v>116</v>
      </c>
      <c r="M194" s="65" t="s">
        <v>125</v>
      </c>
      <c r="N194" s="65" t="s">
        <v>118</v>
      </c>
      <c r="O194" s="249" t="s">
        <v>437</v>
      </c>
      <c r="P194" s="154">
        <v>193913662</v>
      </c>
      <c r="Q194" s="154">
        <v>0</v>
      </c>
      <c r="R194" s="154">
        <v>0</v>
      </c>
      <c r="S194" s="154">
        <v>193913662</v>
      </c>
      <c r="T194" s="154">
        <v>0</v>
      </c>
      <c r="U194" s="154">
        <v>0</v>
      </c>
      <c r="V194" s="154">
        <v>193913662</v>
      </c>
      <c r="W194" s="154">
        <v>0</v>
      </c>
      <c r="X194" s="154">
        <v>0</v>
      </c>
      <c r="Y194" s="154">
        <v>0</v>
      </c>
      <c r="Z194" s="154">
        <v>0</v>
      </c>
    </row>
    <row r="195" spans="1:26" s="141" customFormat="1" ht="56.25">
      <c r="A195" s="65" t="s">
        <v>58</v>
      </c>
      <c r="B195" s="249" t="s">
        <v>412</v>
      </c>
      <c r="C195" s="250" t="s">
        <v>306</v>
      </c>
      <c r="D195" s="65" t="s">
        <v>11</v>
      </c>
      <c r="E195" s="65" t="s">
        <v>307</v>
      </c>
      <c r="F195" s="65" t="s">
        <v>307</v>
      </c>
      <c r="G195" s="65" t="s">
        <v>307</v>
      </c>
      <c r="H195" s="65"/>
      <c r="I195" s="65"/>
      <c r="J195" s="65"/>
      <c r="K195" s="65"/>
      <c r="L195" s="65" t="s">
        <v>116</v>
      </c>
      <c r="M195" s="65" t="s">
        <v>117</v>
      </c>
      <c r="N195" s="65" t="s">
        <v>118</v>
      </c>
      <c r="O195" s="249" t="s">
        <v>308</v>
      </c>
      <c r="P195" s="154">
        <v>1550000000</v>
      </c>
      <c r="Q195" s="154">
        <v>0</v>
      </c>
      <c r="R195" s="154">
        <v>0</v>
      </c>
      <c r="S195" s="154">
        <v>1550000000</v>
      </c>
      <c r="T195" s="154">
        <v>0</v>
      </c>
      <c r="U195" s="154">
        <v>446085179</v>
      </c>
      <c r="V195" s="154">
        <v>1103914821</v>
      </c>
      <c r="W195" s="154">
        <v>446085179</v>
      </c>
      <c r="X195" s="154">
        <v>446085179</v>
      </c>
      <c r="Y195" s="154">
        <v>446085179</v>
      </c>
      <c r="Z195" s="154">
        <v>294566385</v>
      </c>
    </row>
    <row r="196" spans="1:26" s="141" customFormat="1" ht="56.25">
      <c r="A196" s="65" t="s">
        <v>58</v>
      </c>
      <c r="B196" s="249" t="s">
        <v>412</v>
      </c>
      <c r="C196" s="250" t="s">
        <v>309</v>
      </c>
      <c r="D196" s="65" t="s">
        <v>11</v>
      </c>
      <c r="E196" s="65" t="s">
        <v>307</v>
      </c>
      <c r="F196" s="65" t="s">
        <v>307</v>
      </c>
      <c r="G196" s="65" t="s">
        <v>310</v>
      </c>
      <c r="H196" s="65"/>
      <c r="I196" s="65"/>
      <c r="J196" s="65"/>
      <c r="K196" s="65"/>
      <c r="L196" s="65" t="s">
        <v>116</v>
      </c>
      <c r="M196" s="65" t="s">
        <v>117</v>
      </c>
      <c r="N196" s="65" t="s">
        <v>118</v>
      </c>
      <c r="O196" s="249" t="s">
        <v>311</v>
      </c>
      <c r="P196" s="154">
        <v>404000000</v>
      </c>
      <c r="Q196" s="154">
        <v>0</v>
      </c>
      <c r="R196" s="154">
        <v>0</v>
      </c>
      <c r="S196" s="154">
        <v>404000000</v>
      </c>
      <c r="T196" s="154">
        <v>0</v>
      </c>
      <c r="U196" s="154">
        <v>172906957</v>
      </c>
      <c r="V196" s="154">
        <v>231093043</v>
      </c>
      <c r="W196" s="154">
        <v>172906957</v>
      </c>
      <c r="X196" s="154">
        <v>172906957</v>
      </c>
      <c r="Y196" s="154">
        <v>172906957</v>
      </c>
      <c r="Z196" s="154">
        <v>114785352</v>
      </c>
    </row>
    <row r="197" spans="1:26" s="141" customFormat="1" ht="56.25">
      <c r="A197" s="65" t="s">
        <v>58</v>
      </c>
      <c r="B197" s="249" t="s">
        <v>412</v>
      </c>
      <c r="C197" s="250" t="s">
        <v>312</v>
      </c>
      <c r="D197" s="65" t="s">
        <v>11</v>
      </c>
      <c r="E197" s="65" t="s">
        <v>307</v>
      </c>
      <c r="F197" s="65" t="s">
        <v>307</v>
      </c>
      <c r="G197" s="65" t="s">
        <v>313</v>
      </c>
      <c r="H197" s="65"/>
      <c r="I197" s="65"/>
      <c r="J197" s="65"/>
      <c r="K197" s="65"/>
      <c r="L197" s="65" t="s">
        <v>116</v>
      </c>
      <c r="M197" s="65" t="s">
        <v>117</v>
      </c>
      <c r="N197" s="65" t="s">
        <v>118</v>
      </c>
      <c r="O197" s="249" t="s">
        <v>314</v>
      </c>
      <c r="P197" s="154">
        <v>348000000</v>
      </c>
      <c r="Q197" s="154">
        <v>0</v>
      </c>
      <c r="R197" s="154">
        <v>0</v>
      </c>
      <c r="S197" s="154">
        <v>348000000</v>
      </c>
      <c r="T197" s="154">
        <v>0</v>
      </c>
      <c r="U197" s="154">
        <v>114249500</v>
      </c>
      <c r="V197" s="154">
        <v>233750500</v>
      </c>
      <c r="W197" s="154">
        <v>114249500</v>
      </c>
      <c r="X197" s="154">
        <v>114249500</v>
      </c>
      <c r="Y197" s="154">
        <v>114249500</v>
      </c>
      <c r="Z197" s="154">
        <v>73040070</v>
      </c>
    </row>
    <row r="198" spans="1:26" s="141" customFormat="1" ht="56.25">
      <c r="A198" s="65" t="s">
        <v>58</v>
      </c>
      <c r="B198" s="249" t="s">
        <v>412</v>
      </c>
      <c r="C198" s="250" t="s">
        <v>432</v>
      </c>
      <c r="D198" s="65" t="s">
        <v>11</v>
      </c>
      <c r="E198" s="65" t="s">
        <v>310</v>
      </c>
      <c r="F198" s="65"/>
      <c r="G198" s="65"/>
      <c r="H198" s="65"/>
      <c r="I198" s="65"/>
      <c r="J198" s="65"/>
      <c r="K198" s="65"/>
      <c r="L198" s="65" t="s">
        <v>116</v>
      </c>
      <c r="M198" s="65" t="s">
        <v>117</v>
      </c>
      <c r="N198" s="65" t="s">
        <v>118</v>
      </c>
      <c r="O198" s="249" t="s">
        <v>433</v>
      </c>
      <c r="P198" s="154">
        <v>188000000</v>
      </c>
      <c r="Q198" s="154">
        <v>0</v>
      </c>
      <c r="R198" s="154">
        <v>0</v>
      </c>
      <c r="S198" s="154">
        <v>188000000</v>
      </c>
      <c r="T198" s="154">
        <v>0</v>
      </c>
      <c r="U198" s="154">
        <v>31125793</v>
      </c>
      <c r="V198" s="154">
        <v>156874207</v>
      </c>
      <c r="W198" s="154">
        <v>31125793</v>
      </c>
      <c r="X198" s="154">
        <v>31125793</v>
      </c>
      <c r="Y198" s="154">
        <v>31125793</v>
      </c>
      <c r="Z198" s="154">
        <v>15000000</v>
      </c>
    </row>
    <row r="199" spans="1:26" s="141" customFormat="1" ht="56.25">
      <c r="A199" s="65" t="s">
        <v>58</v>
      </c>
      <c r="B199" s="249" t="s">
        <v>412</v>
      </c>
      <c r="C199" s="250" t="s">
        <v>298</v>
      </c>
      <c r="D199" s="65" t="s">
        <v>11</v>
      </c>
      <c r="E199" s="65" t="s">
        <v>332</v>
      </c>
      <c r="F199" s="65" t="s">
        <v>307</v>
      </c>
      <c r="G199" s="65"/>
      <c r="H199" s="65"/>
      <c r="I199" s="65"/>
      <c r="J199" s="65"/>
      <c r="K199" s="65"/>
      <c r="L199" s="65" t="s">
        <v>116</v>
      </c>
      <c r="M199" s="65" t="s">
        <v>117</v>
      </c>
      <c r="N199" s="65" t="s">
        <v>118</v>
      </c>
      <c r="O199" s="249" t="s">
        <v>333</v>
      </c>
      <c r="P199" s="154">
        <v>12000000</v>
      </c>
      <c r="Q199" s="154">
        <v>0</v>
      </c>
      <c r="R199" s="154">
        <v>0</v>
      </c>
      <c r="S199" s="154">
        <v>12000000</v>
      </c>
      <c r="T199" s="154">
        <v>0</v>
      </c>
      <c r="U199" s="154">
        <v>0</v>
      </c>
      <c r="V199" s="154">
        <v>12000000</v>
      </c>
      <c r="W199" s="154">
        <v>0</v>
      </c>
      <c r="X199" s="154">
        <v>0</v>
      </c>
      <c r="Y199" s="154">
        <v>0</v>
      </c>
      <c r="Z199" s="154">
        <v>0</v>
      </c>
    </row>
    <row r="200" spans="1:26" s="141" customFormat="1" ht="56.25">
      <c r="A200" s="65" t="s">
        <v>58</v>
      </c>
      <c r="B200" s="249" t="s">
        <v>412</v>
      </c>
      <c r="C200" s="250" t="s">
        <v>294</v>
      </c>
      <c r="D200" s="65" t="s">
        <v>11</v>
      </c>
      <c r="E200" s="65" t="s">
        <v>332</v>
      </c>
      <c r="F200" s="65" t="s">
        <v>318</v>
      </c>
      <c r="G200" s="65" t="s">
        <v>307</v>
      </c>
      <c r="H200" s="65"/>
      <c r="I200" s="65"/>
      <c r="J200" s="65"/>
      <c r="K200" s="65"/>
      <c r="L200" s="65" t="s">
        <v>116</v>
      </c>
      <c r="M200" s="65" t="s">
        <v>125</v>
      </c>
      <c r="N200" s="65" t="s">
        <v>126</v>
      </c>
      <c r="O200" s="249" t="s">
        <v>334</v>
      </c>
      <c r="P200" s="154">
        <v>13000000</v>
      </c>
      <c r="Q200" s="154">
        <v>0</v>
      </c>
      <c r="R200" s="154">
        <v>0</v>
      </c>
      <c r="S200" s="154">
        <v>13000000</v>
      </c>
      <c r="T200" s="154">
        <v>0</v>
      </c>
      <c r="U200" s="154">
        <v>0</v>
      </c>
      <c r="V200" s="154">
        <v>13000000</v>
      </c>
      <c r="W200" s="154">
        <v>0</v>
      </c>
      <c r="X200" s="154">
        <v>0</v>
      </c>
      <c r="Y200" s="154">
        <v>0</v>
      </c>
      <c r="Z200" s="154">
        <v>0</v>
      </c>
    </row>
    <row r="201" spans="1:26" s="141" customFormat="1" ht="45">
      <c r="A201" s="65" t="s">
        <v>59</v>
      </c>
      <c r="B201" s="249" t="s">
        <v>413</v>
      </c>
      <c r="C201" s="250" t="s">
        <v>306</v>
      </c>
      <c r="D201" s="65" t="s">
        <v>11</v>
      </c>
      <c r="E201" s="65" t="s">
        <v>307</v>
      </c>
      <c r="F201" s="65" t="s">
        <v>307</v>
      </c>
      <c r="G201" s="65" t="s">
        <v>307</v>
      </c>
      <c r="H201" s="65"/>
      <c r="I201" s="65"/>
      <c r="J201" s="65"/>
      <c r="K201" s="65"/>
      <c r="L201" s="65" t="s">
        <v>116</v>
      </c>
      <c r="M201" s="65" t="s">
        <v>117</v>
      </c>
      <c r="N201" s="65" t="s">
        <v>118</v>
      </c>
      <c r="O201" s="249" t="s">
        <v>308</v>
      </c>
      <c r="P201" s="154">
        <v>1856000000</v>
      </c>
      <c r="Q201" s="154">
        <v>0</v>
      </c>
      <c r="R201" s="154">
        <v>0</v>
      </c>
      <c r="S201" s="154">
        <v>1856000000</v>
      </c>
      <c r="T201" s="154">
        <v>0</v>
      </c>
      <c r="U201" s="154">
        <v>677916089</v>
      </c>
      <c r="V201" s="154">
        <v>1178083911</v>
      </c>
      <c r="W201" s="154">
        <v>677916089</v>
      </c>
      <c r="X201" s="154">
        <v>677916089</v>
      </c>
      <c r="Y201" s="154">
        <v>677916089</v>
      </c>
      <c r="Z201" s="154">
        <v>677916089</v>
      </c>
    </row>
    <row r="202" spans="1:26" s="141" customFormat="1" ht="45">
      <c r="A202" s="65" t="s">
        <v>59</v>
      </c>
      <c r="B202" s="249" t="s">
        <v>413</v>
      </c>
      <c r="C202" s="250" t="s">
        <v>309</v>
      </c>
      <c r="D202" s="65" t="s">
        <v>11</v>
      </c>
      <c r="E202" s="65" t="s">
        <v>307</v>
      </c>
      <c r="F202" s="65" t="s">
        <v>307</v>
      </c>
      <c r="G202" s="65" t="s">
        <v>310</v>
      </c>
      <c r="H202" s="65"/>
      <c r="I202" s="65"/>
      <c r="J202" s="65"/>
      <c r="K202" s="65"/>
      <c r="L202" s="65" t="s">
        <v>116</v>
      </c>
      <c r="M202" s="65" t="s">
        <v>117</v>
      </c>
      <c r="N202" s="65" t="s">
        <v>118</v>
      </c>
      <c r="O202" s="249" t="s">
        <v>311</v>
      </c>
      <c r="P202" s="154">
        <v>406000000</v>
      </c>
      <c r="Q202" s="154">
        <v>0</v>
      </c>
      <c r="R202" s="154">
        <v>0</v>
      </c>
      <c r="S202" s="154">
        <v>406000000</v>
      </c>
      <c r="T202" s="154">
        <v>0</v>
      </c>
      <c r="U202" s="154">
        <v>135932538</v>
      </c>
      <c r="V202" s="154">
        <v>270067462</v>
      </c>
      <c r="W202" s="154">
        <v>135932538</v>
      </c>
      <c r="X202" s="154">
        <v>135932538</v>
      </c>
      <c r="Y202" s="154">
        <v>135932538</v>
      </c>
      <c r="Z202" s="154">
        <v>135932538</v>
      </c>
    </row>
    <row r="203" spans="1:26" s="141" customFormat="1" ht="45">
      <c r="A203" s="65" t="s">
        <v>59</v>
      </c>
      <c r="B203" s="249" t="s">
        <v>413</v>
      </c>
      <c r="C203" s="250" t="s">
        <v>312</v>
      </c>
      <c r="D203" s="65" t="s">
        <v>11</v>
      </c>
      <c r="E203" s="65" t="s">
        <v>307</v>
      </c>
      <c r="F203" s="65" t="s">
        <v>307</v>
      </c>
      <c r="G203" s="65" t="s">
        <v>313</v>
      </c>
      <c r="H203" s="65"/>
      <c r="I203" s="65"/>
      <c r="J203" s="65"/>
      <c r="K203" s="65"/>
      <c r="L203" s="65" t="s">
        <v>116</v>
      </c>
      <c r="M203" s="65" t="s">
        <v>117</v>
      </c>
      <c r="N203" s="65" t="s">
        <v>118</v>
      </c>
      <c r="O203" s="249" t="s">
        <v>314</v>
      </c>
      <c r="P203" s="154">
        <v>323000000</v>
      </c>
      <c r="Q203" s="154">
        <v>0</v>
      </c>
      <c r="R203" s="154">
        <v>0</v>
      </c>
      <c r="S203" s="154">
        <v>323000000</v>
      </c>
      <c r="T203" s="154">
        <v>0</v>
      </c>
      <c r="U203" s="154">
        <v>116151373</v>
      </c>
      <c r="V203" s="154">
        <v>206848627</v>
      </c>
      <c r="W203" s="154">
        <v>116151373</v>
      </c>
      <c r="X203" s="154">
        <v>116151373</v>
      </c>
      <c r="Y203" s="154">
        <v>116151373</v>
      </c>
      <c r="Z203" s="154">
        <v>116151373</v>
      </c>
    </row>
    <row r="204" spans="1:26" s="141" customFormat="1" ht="45">
      <c r="A204" s="65" t="s">
        <v>59</v>
      </c>
      <c r="B204" s="249" t="s">
        <v>413</v>
      </c>
      <c r="C204" s="250" t="s">
        <v>432</v>
      </c>
      <c r="D204" s="65" t="s">
        <v>11</v>
      </c>
      <c r="E204" s="65" t="s">
        <v>310</v>
      </c>
      <c r="F204" s="65"/>
      <c r="G204" s="65"/>
      <c r="H204" s="65"/>
      <c r="I204" s="65"/>
      <c r="J204" s="65"/>
      <c r="K204" s="65"/>
      <c r="L204" s="65" t="s">
        <v>116</v>
      </c>
      <c r="M204" s="65" t="s">
        <v>117</v>
      </c>
      <c r="N204" s="65" t="s">
        <v>118</v>
      </c>
      <c r="O204" s="249" t="s">
        <v>433</v>
      </c>
      <c r="P204" s="154">
        <v>127000000</v>
      </c>
      <c r="Q204" s="154">
        <v>0</v>
      </c>
      <c r="R204" s="154">
        <v>0</v>
      </c>
      <c r="S204" s="154">
        <v>127000000</v>
      </c>
      <c r="T204" s="154">
        <v>0</v>
      </c>
      <c r="U204" s="154">
        <v>127000000</v>
      </c>
      <c r="V204" s="154">
        <v>0</v>
      </c>
      <c r="W204" s="154">
        <v>125563616.2</v>
      </c>
      <c r="X204" s="154">
        <v>0</v>
      </c>
      <c r="Y204" s="154">
        <v>0</v>
      </c>
      <c r="Z204" s="154">
        <v>0</v>
      </c>
    </row>
    <row r="205" spans="1:26" s="141" customFormat="1" ht="45">
      <c r="A205" s="65" t="s">
        <v>59</v>
      </c>
      <c r="B205" s="249" t="s">
        <v>413</v>
      </c>
      <c r="C205" s="250" t="s">
        <v>298</v>
      </c>
      <c r="D205" s="65" t="s">
        <v>11</v>
      </c>
      <c r="E205" s="65" t="s">
        <v>332</v>
      </c>
      <c r="F205" s="65" t="s">
        <v>307</v>
      </c>
      <c r="G205" s="65"/>
      <c r="H205" s="65"/>
      <c r="I205" s="65"/>
      <c r="J205" s="65"/>
      <c r="K205" s="65"/>
      <c r="L205" s="65" t="s">
        <v>116</v>
      </c>
      <c r="M205" s="65" t="s">
        <v>117</v>
      </c>
      <c r="N205" s="65" t="s">
        <v>118</v>
      </c>
      <c r="O205" s="249" t="s">
        <v>333</v>
      </c>
      <c r="P205" s="154">
        <v>4000000</v>
      </c>
      <c r="Q205" s="154">
        <v>0</v>
      </c>
      <c r="R205" s="154">
        <v>0</v>
      </c>
      <c r="S205" s="154">
        <v>4000000</v>
      </c>
      <c r="T205" s="154">
        <v>0</v>
      </c>
      <c r="U205" s="154">
        <v>3422500</v>
      </c>
      <c r="V205" s="154">
        <v>577500</v>
      </c>
      <c r="W205" s="154">
        <v>3422500</v>
      </c>
      <c r="X205" s="154">
        <v>3422500</v>
      </c>
      <c r="Y205" s="154">
        <v>3422500</v>
      </c>
      <c r="Z205" s="154">
        <v>3422500</v>
      </c>
    </row>
    <row r="206" spans="1:26" s="141" customFormat="1" ht="45">
      <c r="A206" s="65" t="s">
        <v>59</v>
      </c>
      <c r="B206" s="249" t="s">
        <v>413</v>
      </c>
      <c r="C206" s="250" t="s">
        <v>294</v>
      </c>
      <c r="D206" s="65" t="s">
        <v>11</v>
      </c>
      <c r="E206" s="65" t="s">
        <v>332</v>
      </c>
      <c r="F206" s="65" t="s">
        <v>318</v>
      </c>
      <c r="G206" s="65" t="s">
        <v>307</v>
      </c>
      <c r="H206" s="65"/>
      <c r="I206" s="65"/>
      <c r="J206" s="65"/>
      <c r="K206" s="65"/>
      <c r="L206" s="65" t="s">
        <v>116</v>
      </c>
      <c r="M206" s="65" t="s">
        <v>125</v>
      </c>
      <c r="N206" s="65" t="s">
        <v>126</v>
      </c>
      <c r="O206" s="249" t="s">
        <v>334</v>
      </c>
      <c r="P206" s="154">
        <v>13000000</v>
      </c>
      <c r="Q206" s="154">
        <v>0</v>
      </c>
      <c r="R206" s="154">
        <v>0</v>
      </c>
      <c r="S206" s="154">
        <v>13000000</v>
      </c>
      <c r="T206" s="154">
        <v>0</v>
      </c>
      <c r="U206" s="154">
        <v>0</v>
      </c>
      <c r="V206" s="154">
        <v>13000000</v>
      </c>
      <c r="W206" s="154">
        <v>0</v>
      </c>
      <c r="X206" s="154">
        <v>0</v>
      </c>
      <c r="Y206" s="154">
        <v>0</v>
      </c>
      <c r="Z206" s="154">
        <v>0</v>
      </c>
    </row>
    <row r="207" spans="1:26" s="141" customFormat="1" ht="45">
      <c r="A207" s="65" t="s">
        <v>69</v>
      </c>
      <c r="B207" s="249" t="s">
        <v>414</v>
      </c>
      <c r="C207" s="250" t="s">
        <v>306</v>
      </c>
      <c r="D207" s="65" t="s">
        <v>11</v>
      </c>
      <c r="E207" s="65" t="s">
        <v>307</v>
      </c>
      <c r="F207" s="65" t="s">
        <v>307</v>
      </c>
      <c r="G207" s="65" t="s">
        <v>307</v>
      </c>
      <c r="H207" s="65"/>
      <c r="I207" s="65"/>
      <c r="J207" s="65"/>
      <c r="K207" s="65"/>
      <c r="L207" s="65" t="s">
        <v>116</v>
      </c>
      <c r="M207" s="65" t="s">
        <v>117</v>
      </c>
      <c r="N207" s="65" t="s">
        <v>118</v>
      </c>
      <c r="O207" s="249" t="s">
        <v>308</v>
      </c>
      <c r="P207" s="154">
        <v>1610937940</v>
      </c>
      <c r="Q207" s="154">
        <v>0</v>
      </c>
      <c r="R207" s="154">
        <v>0</v>
      </c>
      <c r="S207" s="154">
        <v>1610937940</v>
      </c>
      <c r="T207" s="154">
        <v>0</v>
      </c>
      <c r="U207" s="154">
        <v>422079942</v>
      </c>
      <c r="V207" s="154">
        <v>1188857998</v>
      </c>
      <c r="W207" s="154">
        <v>422079942</v>
      </c>
      <c r="X207" s="154">
        <v>422079942</v>
      </c>
      <c r="Y207" s="154">
        <v>422079942</v>
      </c>
      <c r="Z207" s="154">
        <v>422079942</v>
      </c>
    </row>
    <row r="208" spans="1:26" s="141" customFormat="1" ht="45">
      <c r="A208" s="65" t="s">
        <v>69</v>
      </c>
      <c r="B208" s="249" t="s">
        <v>414</v>
      </c>
      <c r="C208" s="250" t="s">
        <v>309</v>
      </c>
      <c r="D208" s="65" t="s">
        <v>11</v>
      </c>
      <c r="E208" s="65" t="s">
        <v>307</v>
      </c>
      <c r="F208" s="65" t="s">
        <v>307</v>
      </c>
      <c r="G208" s="65" t="s">
        <v>310</v>
      </c>
      <c r="H208" s="65"/>
      <c r="I208" s="65"/>
      <c r="J208" s="65"/>
      <c r="K208" s="65"/>
      <c r="L208" s="65" t="s">
        <v>116</v>
      </c>
      <c r="M208" s="65" t="s">
        <v>117</v>
      </c>
      <c r="N208" s="65" t="s">
        <v>118</v>
      </c>
      <c r="O208" s="249" t="s">
        <v>311</v>
      </c>
      <c r="P208" s="154">
        <v>467760860</v>
      </c>
      <c r="Q208" s="154">
        <v>0</v>
      </c>
      <c r="R208" s="154">
        <v>0</v>
      </c>
      <c r="S208" s="154">
        <v>467760860</v>
      </c>
      <c r="T208" s="154">
        <v>0</v>
      </c>
      <c r="U208" s="154">
        <v>206547471</v>
      </c>
      <c r="V208" s="154">
        <v>261213389</v>
      </c>
      <c r="W208" s="154">
        <v>206547471</v>
      </c>
      <c r="X208" s="154">
        <v>206380437</v>
      </c>
      <c r="Y208" s="154">
        <v>206380437</v>
      </c>
      <c r="Z208" s="154">
        <v>157743386</v>
      </c>
    </row>
    <row r="209" spans="1:26" s="141" customFormat="1" ht="45">
      <c r="A209" s="65" t="s">
        <v>69</v>
      </c>
      <c r="B209" s="249" t="s">
        <v>414</v>
      </c>
      <c r="C209" s="250" t="s">
        <v>312</v>
      </c>
      <c r="D209" s="65" t="s">
        <v>11</v>
      </c>
      <c r="E209" s="65" t="s">
        <v>307</v>
      </c>
      <c r="F209" s="65" t="s">
        <v>307</v>
      </c>
      <c r="G209" s="65" t="s">
        <v>313</v>
      </c>
      <c r="H209" s="65"/>
      <c r="I209" s="65"/>
      <c r="J209" s="65"/>
      <c r="K209" s="65"/>
      <c r="L209" s="65" t="s">
        <v>116</v>
      </c>
      <c r="M209" s="65" t="s">
        <v>117</v>
      </c>
      <c r="N209" s="65" t="s">
        <v>118</v>
      </c>
      <c r="O209" s="249" t="s">
        <v>314</v>
      </c>
      <c r="P209" s="154">
        <v>212589320</v>
      </c>
      <c r="Q209" s="154">
        <v>0</v>
      </c>
      <c r="R209" s="154">
        <v>0</v>
      </c>
      <c r="S209" s="154">
        <v>212589320</v>
      </c>
      <c r="T209" s="154">
        <v>0</v>
      </c>
      <c r="U209" s="154">
        <v>56952099</v>
      </c>
      <c r="V209" s="154">
        <v>155637221</v>
      </c>
      <c r="W209" s="154">
        <v>56952099</v>
      </c>
      <c r="X209" s="154">
        <v>56952099</v>
      </c>
      <c r="Y209" s="154">
        <v>56952099</v>
      </c>
      <c r="Z209" s="154">
        <v>56952099</v>
      </c>
    </row>
    <row r="210" spans="1:26" s="141" customFormat="1" ht="45">
      <c r="A210" s="65" t="s">
        <v>69</v>
      </c>
      <c r="B210" s="249" t="s">
        <v>414</v>
      </c>
      <c r="C210" s="250" t="s">
        <v>432</v>
      </c>
      <c r="D210" s="65" t="s">
        <v>11</v>
      </c>
      <c r="E210" s="65" t="s">
        <v>310</v>
      </c>
      <c r="F210" s="65"/>
      <c r="G210" s="65"/>
      <c r="H210" s="65"/>
      <c r="I210" s="65"/>
      <c r="J210" s="65"/>
      <c r="K210" s="65"/>
      <c r="L210" s="65" t="s">
        <v>116</v>
      </c>
      <c r="M210" s="65" t="s">
        <v>117</v>
      </c>
      <c r="N210" s="65" t="s">
        <v>118</v>
      </c>
      <c r="O210" s="249" t="s">
        <v>433</v>
      </c>
      <c r="P210" s="154">
        <v>161673600</v>
      </c>
      <c r="Q210" s="154">
        <v>0</v>
      </c>
      <c r="R210" s="154">
        <v>0</v>
      </c>
      <c r="S210" s="154">
        <v>161673600</v>
      </c>
      <c r="T210" s="154">
        <v>0</v>
      </c>
      <c r="U210" s="154">
        <v>129127420</v>
      </c>
      <c r="V210" s="154">
        <v>32546180</v>
      </c>
      <c r="W210" s="154">
        <v>129127420</v>
      </c>
      <c r="X210" s="154">
        <v>61037420</v>
      </c>
      <c r="Y210" s="154">
        <v>61037420</v>
      </c>
      <c r="Z210" s="154">
        <v>61037420</v>
      </c>
    </row>
    <row r="211" spans="1:26" s="141" customFormat="1" ht="45">
      <c r="A211" s="65" t="s">
        <v>69</v>
      </c>
      <c r="B211" s="249" t="s">
        <v>414</v>
      </c>
      <c r="C211" s="250" t="s">
        <v>298</v>
      </c>
      <c r="D211" s="65" t="s">
        <v>11</v>
      </c>
      <c r="E211" s="65" t="s">
        <v>332</v>
      </c>
      <c r="F211" s="65" t="s">
        <v>307</v>
      </c>
      <c r="G211" s="65"/>
      <c r="H211" s="65"/>
      <c r="I211" s="65"/>
      <c r="J211" s="65"/>
      <c r="K211" s="65"/>
      <c r="L211" s="65" t="s">
        <v>116</v>
      </c>
      <c r="M211" s="65" t="s">
        <v>117</v>
      </c>
      <c r="N211" s="65" t="s">
        <v>118</v>
      </c>
      <c r="O211" s="249" t="s">
        <v>333</v>
      </c>
      <c r="P211" s="154">
        <v>4329600</v>
      </c>
      <c r="Q211" s="154">
        <v>0</v>
      </c>
      <c r="R211" s="154">
        <v>0</v>
      </c>
      <c r="S211" s="154">
        <v>4329600</v>
      </c>
      <c r="T211" s="154">
        <v>0</v>
      </c>
      <c r="U211" s="154">
        <v>0</v>
      </c>
      <c r="V211" s="154">
        <v>4329600</v>
      </c>
      <c r="W211" s="154">
        <v>0</v>
      </c>
      <c r="X211" s="154">
        <v>0</v>
      </c>
      <c r="Y211" s="154">
        <v>0</v>
      </c>
      <c r="Z211" s="154">
        <v>0</v>
      </c>
    </row>
    <row r="212" spans="1:26" s="141" customFormat="1" ht="45">
      <c r="A212" s="65" t="s">
        <v>69</v>
      </c>
      <c r="B212" s="249" t="s">
        <v>414</v>
      </c>
      <c r="C212" s="250" t="s">
        <v>294</v>
      </c>
      <c r="D212" s="65" t="s">
        <v>11</v>
      </c>
      <c r="E212" s="65" t="s">
        <v>332</v>
      </c>
      <c r="F212" s="65" t="s">
        <v>318</v>
      </c>
      <c r="G212" s="65" t="s">
        <v>307</v>
      </c>
      <c r="H212" s="65"/>
      <c r="I212" s="65"/>
      <c r="J212" s="65"/>
      <c r="K212" s="65"/>
      <c r="L212" s="65" t="s">
        <v>116</v>
      </c>
      <c r="M212" s="65" t="s">
        <v>125</v>
      </c>
      <c r="N212" s="65" t="s">
        <v>126</v>
      </c>
      <c r="O212" s="249" t="s">
        <v>334</v>
      </c>
      <c r="P212" s="154">
        <v>12249600</v>
      </c>
      <c r="Q212" s="154">
        <v>0</v>
      </c>
      <c r="R212" s="154">
        <v>0</v>
      </c>
      <c r="S212" s="154">
        <v>12249600</v>
      </c>
      <c r="T212" s="154">
        <v>0</v>
      </c>
      <c r="U212" s="154">
        <v>0</v>
      </c>
      <c r="V212" s="154">
        <v>12249600</v>
      </c>
      <c r="W212" s="154">
        <v>0</v>
      </c>
      <c r="X212" s="154">
        <v>0</v>
      </c>
      <c r="Y212" s="154">
        <v>0</v>
      </c>
      <c r="Z212" s="154">
        <v>0</v>
      </c>
    </row>
    <row r="213" spans="1:26" s="141" customFormat="1" ht="45">
      <c r="A213" s="65" t="s">
        <v>69</v>
      </c>
      <c r="B213" s="249" t="s">
        <v>414</v>
      </c>
      <c r="C213" s="250" t="s">
        <v>436</v>
      </c>
      <c r="D213" s="65" t="s">
        <v>430</v>
      </c>
      <c r="E213" s="65" t="s">
        <v>117</v>
      </c>
      <c r="F213" s="65" t="s">
        <v>318</v>
      </c>
      <c r="G213" s="65" t="s">
        <v>307</v>
      </c>
      <c r="H213" s="65"/>
      <c r="I213" s="65"/>
      <c r="J213" s="65"/>
      <c r="K213" s="65"/>
      <c r="L213" s="65" t="s">
        <v>116</v>
      </c>
      <c r="M213" s="65" t="s">
        <v>125</v>
      </c>
      <c r="N213" s="65" t="s">
        <v>118</v>
      </c>
      <c r="O213" s="249" t="s">
        <v>437</v>
      </c>
      <c r="P213" s="154">
        <v>38034986</v>
      </c>
      <c r="Q213" s="154">
        <v>0</v>
      </c>
      <c r="R213" s="154">
        <v>0</v>
      </c>
      <c r="S213" s="154">
        <v>38034986</v>
      </c>
      <c r="T213" s="154">
        <v>0</v>
      </c>
      <c r="U213" s="154">
        <v>0</v>
      </c>
      <c r="V213" s="154">
        <v>38034986</v>
      </c>
      <c r="W213" s="154">
        <v>0</v>
      </c>
      <c r="X213" s="154">
        <v>0</v>
      </c>
      <c r="Y213" s="154">
        <v>0</v>
      </c>
      <c r="Z213" s="154">
        <v>0</v>
      </c>
    </row>
    <row r="214" spans="1:26" s="141" customFormat="1" ht="33.75">
      <c r="A214" s="65" t="s">
        <v>71</v>
      </c>
      <c r="B214" s="249" t="s">
        <v>415</v>
      </c>
      <c r="C214" s="250" t="s">
        <v>306</v>
      </c>
      <c r="D214" s="65" t="s">
        <v>11</v>
      </c>
      <c r="E214" s="65" t="s">
        <v>307</v>
      </c>
      <c r="F214" s="65" t="s">
        <v>307</v>
      </c>
      <c r="G214" s="65" t="s">
        <v>307</v>
      </c>
      <c r="H214" s="65"/>
      <c r="I214" s="65"/>
      <c r="J214" s="65"/>
      <c r="K214" s="65"/>
      <c r="L214" s="65" t="s">
        <v>116</v>
      </c>
      <c r="M214" s="65" t="s">
        <v>117</v>
      </c>
      <c r="N214" s="65" t="s">
        <v>118</v>
      </c>
      <c r="O214" s="249" t="s">
        <v>308</v>
      </c>
      <c r="P214" s="154">
        <v>1504000000</v>
      </c>
      <c r="Q214" s="154">
        <v>0</v>
      </c>
      <c r="R214" s="154">
        <v>0</v>
      </c>
      <c r="S214" s="154">
        <v>1504000000</v>
      </c>
      <c r="T214" s="154">
        <v>0</v>
      </c>
      <c r="U214" s="154">
        <v>342069548</v>
      </c>
      <c r="V214" s="154">
        <v>1161930452</v>
      </c>
      <c r="W214" s="154">
        <v>342069548</v>
      </c>
      <c r="X214" s="154">
        <v>342069548</v>
      </c>
      <c r="Y214" s="154">
        <v>342069548</v>
      </c>
      <c r="Z214" s="154">
        <v>342069548</v>
      </c>
    </row>
    <row r="215" spans="1:26" s="141" customFormat="1" ht="33.75">
      <c r="A215" s="65" t="s">
        <v>71</v>
      </c>
      <c r="B215" s="249" t="s">
        <v>415</v>
      </c>
      <c r="C215" s="250" t="s">
        <v>309</v>
      </c>
      <c r="D215" s="65" t="s">
        <v>11</v>
      </c>
      <c r="E215" s="65" t="s">
        <v>307</v>
      </c>
      <c r="F215" s="65" t="s">
        <v>307</v>
      </c>
      <c r="G215" s="65" t="s">
        <v>310</v>
      </c>
      <c r="H215" s="65"/>
      <c r="I215" s="65"/>
      <c r="J215" s="65"/>
      <c r="K215" s="65"/>
      <c r="L215" s="65" t="s">
        <v>116</v>
      </c>
      <c r="M215" s="65" t="s">
        <v>117</v>
      </c>
      <c r="N215" s="65" t="s">
        <v>118</v>
      </c>
      <c r="O215" s="249" t="s">
        <v>311</v>
      </c>
      <c r="P215" s="154">
        <v>466000000</v>
      </c>
      <c r="Q215" s="154">
        <v>0</v>
      </c>
      <c r="R215" s="154">
        <v>0</v>
      </c>
      <c r="S215" s="154">
        <v>466000000</v>
      </c>
      <c r="T215" s="154">
        <v>0</v>
      </c>
      <c r="U215" s="154">
        <v>201609518</v>
      </c>
      <c r="V215" s="154">
        <v>264390482</v>
      </c>
      <c r="W215" s="154">
        <v>201609518</v>
      </c>
      <c r="X215" s="154">
        <v>201609518</v>
      </c>
      <c r="Y215" s="154">
        <v>201609518</v>
      </c>
      <c r="Z215" s="154">
        <v>201609518</v>
      </c>
    </row>
    <row r="216" spans="1:26" s="141" customFormat="1" ht="33.75">
      <c r="A216" s="65" t="s">
        <v>71</v>
      </c>
      <c r="B216" s="249" t="s">
        <v>415</v>
      </c>
      <c r="C216" s="250" t="s">
        <v>312</v>
      </c>
      <c r="D216" s="65" t="s">
        <v>11</v>
      </c>
      <c r="E216" s="65" t="s">
        <v>307</v>
      </c>
      <c r="F216" s="65" t="s">
        <v>307</v>
      </c>
      <c r="G216" s="65" t="s">
        <v>313</v>
      </c>
      <c r="H216" s="65"/>
      <c r="I216" s="65"/>
      <c r="J216" s="65"/>
      <c r="K216" s="65"/>
      <c r="L216" s="65" t="s">
        <v>116</v>
      </c>
      <c r="M216" s="65" t="s">
        <v>117</v>
      </c>
      <c r="N216" s="65" t="s">
        <v>118</v>
      </c>
      <c r="O216" s="249" t="s">
        <v>314</v>
      </c>
      <c r="P216" s="154">
        <v>283000000</v>
      </c>
      <c r="Q216" s="154">
        <v>0</v>
      </c>
      <c r="R216" s="154">
        <v>0</v>
      </c>
      <c r="S216" s="154">
        <v>283000000</v>
      </c>
      <c r="T216" s="154">
        <v>0</v>
      </c>
      <c r="U216" s="154">
        <v>61280934</v>
      </c>
      <c r="V216" s="154">
        <v>221719066</v>
      </c>
      <c r="W216" s="154">
        <v>61280934</v>
      </c>
      <c r="X216" s="154">
        <v>61280934</v>
      </c>
      <c r="Y216" s="154">
        <v>61280934</v>
      </c>
      <c r="Z216" s="154">
        <v>61280934</v>
      </c>
    </row>
    <row r="217" spans="1:26" s="141" customFormat="1" ht="33.75">
      <c r="A217" s="65" t="s">
        <v>71</v>
      </c>
      <c r="B217" s="249" t="s">
        <v>415</v>
      </c>
      <c r="C217" s="250" t="s">
        <v>432</v>
      </c>
      <c r="D217" s="65" t="s">
        <v>11</v>
      </c>
      <c r="E217" s="65" t="s">
        <v>310</v>
      </c>
      <c r="F217" s="65"/>
      <c r="G217" s="65"/>
      <c r="H217" s="65"/>
      <c r="I217" s="65"/>
      <c r="J217" s="65"/>
      <c r="K217" s="65"/>
      <c r="L217" s="65" t="s">
        <v>116</v>
      </c>
      <c r="M217" s="65" t="s">
        <v>117</v>
      </c>
      <c r="N217" s="65" t="s">
        <v>118</v>
      </c>
      <c r="O217" s="249" t="s">
        <v>433</v>
      </c>
      <c r="P217" s="154">
        <v>70000000</v>
      </c>
      <c r="Q217" s="154">
        <v>0</v>
      </c>
      <c r="R217" s="154">
        <v>0</v>
      </c>
      <c r="S217" s="154">
        <v>70000000</v>
      </c>
      <c r="T217" s="154">
        <v>0</v>
      </c>
      <c r="U217" s="154">
        <v>70000000</v>
      </c>
      <c r="V217" s="154">
        <v>0</v>
      </c>
      <c r="W217" s="154">
        <v>14055555</v>
      </c>
      <c r="X217" s="154">
        <v>14055555</v>
      </c>
      <c r="Y217" s="154">
        <v>14055555</v>
      </c>
      <c r="Z217" s="154">
        <v>14055555</v>
      </c>
    </row>
    <row r="218" spans="1:26" s="141" customFormat="1" ht="33.75">
      <c r="A218" s="65" t="s">
        <v>71</v>
      </c>
      <c r="B218" s="249" t="s">
        <v>415</v>
      </c>
      <c r="C218" s="250" t="s">
        <v>294</v>
      </c>
      <c r="D218" s="65" t="s">
        <v>11</v>
      </c>
      <c r="E218" s="65" t="s">
        <v>332</v>
      </c>
      <c r="F218" s="65" t="s">
        <v>318</v>
      </c>
      <c r="G218" s="65" t="s">
        <v>307</v>
      </c>
      <c r="H218" s="65"/>
      <c r="I218" s="65"/>
      <c r="J218" s="65"/>
      <c r="K218" s="65"/>
      <c r="L218" s="65" t="s">
        <v>116</v>
      </c>
      <c r="M218" s="65" t="s">
        <v>125</v>
      </c>
      <c r="N218" s="65" t="s">
        <v>126</v>
      </c>
      <c r="O218" s="249" t="s">
        <v>334</v>
      </c>
      <c r="P218" s="154">
        <v>7000000</v>
      </c>
      <c r="Q218" s="154">
        <v>0</v>
      </c>
      <c r="R218" s="154">
        <v>0</v>
      </c>
      <c r="S218" s="154">
        <v>7000000</v>
      </c>
      <c r="T218" s="154">
        <v>0</v>
      </c>
      <c r="U218" s="154">
        <v>0</v>
      </c>
      <c r="V218" s="154">
        <v>7000000</v>
      </c>
      <c r="W218" s="154">
        <v>0</v>
      </c>
      <c r="X218" s="154">
        <v>0</v>
      </c>
      <c r="Y218" s="154">
        <v>0</v>
      </c>
      <c r="Z218" s="154">
        <v>0</v>
      </c>
    </row>
    <row r="219" spans="1:26" s="141" customFormat="1" ht="33.75">
      <c r="A219" s="65" t="s">
        <v>71</v>
      </c>
      <c r="B219" s="249" t="s">
        <v>415</v>
      </c>
      <c r="C219" s="250" t="s">
        <v>436</v>
      </c>
      <c r="D219" s="65" t="s">
        <v>430</v>
      </c>
      <c r="E219" s="65" t="s">
        <v>117</v>
      </c>
      <c r="F219" s="65" t="s">
        <v>318</v>
      </c>
      <c r="G219" s="65" t="s">
        <v>307</v>
      </c>
      <c r="H219" s="65"/>
      <c r="I219" s="65"/>
      <c r="J219" s="65"/>
      <c r="K219" s="65"/>
      <c r="L219" s="65" t="s">
        <v>116</v>
      </c>
      <c r="M219" s="65" t="s">
        <v>125</v>
      </c>
      <c r="N219" s="65" t="s">
        <v>118</v>
      </c>
      <c r="O219" s="249" t="s">
        <v>437</v>
      </c>
      <c r="P219" s="154">
        <v>107621743</v>
      </c>
      <c r="Q219" s="154">
        <v>0</v>
      </c>
      <c r="R219" s="154">
        <v>0</v>
      </c>
      <c r="S219" s="154">
        <v>107621743</v>
      </c>
      <c r="T219" s="154">
        <v>0</v>
      </c>
      <c r="U219" s="154">
        <v>0</v>
      </c>
      <c r="V219" s="154">
        <v>107621743</v>
      </c>
      <c r="W219" s="154">
        <v>0</v>
      </c>
      <c r="X219" s="154">
        <v>0</v>
      </c>
      <c r="Y219" s="154">
        <v>0</v>
      </c>
      <c r="Z219" s="154">
        <v>0</v>
      </c>
    </row>
    <row r="220" spans="1:26" s="141" customFormat="1" ht="22.5">
      <c r="A220" s="65" t="s">
        <v>55</v>
      </c>
      <c r="B220" s="249" t="s">
        <v>416</v>
      </c>
      <c r="C220" s="250" t="s">
        <v>306</v>
      </c>
      <c r="D220" s="65" t="s">
        <v>11</v>
      </c>
      <c r="E220" s="65" t="s">
        <v>307</v>
      </c>
      <c r="F220" s="65" t="s">
        <v>307</v>
      </c>
      <c r="G220" s="65" t="s">
        <v>307</v>
      </c>
      <c r="H220" s="65"/>
      <c r="I220" s="65"/>
      <c r="J220" s="65"/>
      <c r="K220" s="65"/>
      <c r="L220" s="65" t="s">
        <v>116</v>
      </c>
      <c r="M220" s="65" t="s">
        <v>117</v>
      </c>
      <c r="N220" s="65" t="s">
        <v>118</v>
      </c>
      <c r="O220" s="249" t="s">
        <v>308</v>
      </c>
      <c r="P220" s="154">
        <v>1936000000</v>
      </c>
      <c r="Q220" s="154">
        <v>0</v>
      </c>
      <c r="R220" s="154">
        <v>0</v>
      </c>
      <c r="S220" s="154">
        <v>1936000000</v>
      </c>
      <c r="T220" s="154">
        <v>0</v>
      </c>
      <c r="U220" s="154">
        <v>725000000</v>
      </c>
      <c r="V220" s="154">
        <v>1211000000</v>
      </c>
      <c r="W220" s="154">
        <v>725000000</v>
      </c>
      <c r="X220" s="154">
        <v>725000000</v>
      </c>
      <c r="Y220" s="154">
        <v>537981400</v>
      </c>
      <c r="Z220" s="154">
        <v>537981400</v>
      </c>
    </row>
    <row r="221" spans="1:26" s="141" customFormat="1" ht="22.5">
      <c r="A221" s="65" t="s">
        <v>55</v>
      </c>
      <c r="B221" s="249" t="s">
        <v>416</v>
      </c>
      <c r="C221" s="250" t="s">
        <v>309</v>
      </c>
      <c r="D221" s="65" t="s">
        <v>11</v>
      </c>
      <c r="E221" s="65" t="s">
        <v>307</v>
      </c>
      <c r="F221" s="65" t="s">
        <v>307</v>
      </c>
      <c r="G221" s="65" t="s">
        <v>310</v>
      </c>
      <c r="H221" s="65"/>
      <c r="I221" s="65"/>
      <c r="J221" s="65"/>
      <c r="K221" s="65"/>
      <c r="L221" s="65" t="s">
        <v>116</v>
      </c>
      <c r="M221" s="65" t="s">
        <v>117</v>
      </c>
      <c r="N221" s="65" t="s">
        <v>118</v>
      </c>
      <c r="O221" s="249" t="s">
        <v>311</v>
      </c>
      <c r="P221" s="154">
        <v>401000000</v>
      </c>
      <c r="Q221" s="154">
        <v>0</v>
      </c>
      <c r="R221" s="154">
        <v>0</v>
      </c>
      <c r="S221" s="154">
        <v>401000000</v>
      </c>
      <c r="T221" s="154">
        <v>0</v>
      </c>
      <c r="U221" s="154">
        <v>248000000</v>
      </c>
      <c r="V221" s="154">
        <v>153000000</v>
      </c>
      <c r="W221" s="154">
        <v>248000000</v>
      </c>
      <c r="X221" s="154">
        <v>248000000</v>
      </c>
      <c r="Y221" s="154">
        <v>210000000</v>
      </c>
      <c r="Z221" s="154">
        <v>210000000</v>
      </c>
    </row>
    <row r="222" spans="1:26" s="141" customFormat="1" ht="33.75">
      <c r="A222" s="65" t="s">
        <v>55</v>
      </c>
      <c r="B222" s="249" t="s">
        <v>416</v>
      </c>
      <c r="C222" s="250" t="s">
        <v>312</v>
      </c>
      <c r="D222" s="65" t="s">
        <v>11</v>
      </c>
      <c r="E222" s="65" t="s">
        <v>307</v>
      </c>
      <c r="F222" s="65" t="s">
        <v>307</v>
      </c>
      <c r="G222" s="65" t="s">
        <v>313</v>
      </c>
      <c r="H222" s="65"/>
      <c r="I222" s="65"/>
      <c r="J222" s="65"/>
      <c r="K222" s="65"/>
      <c r="L222" s="65" t="s">
        <v>116</v>
      </c>
      <c r="M222" s="65" t="s">
        <v>117</v>
      </c>
      <c r="N222" s="65" t="s">
        <v>118</v>
      </c>
      <c r="O222" s="249" t="s">
        <v>314</v>
      </c>
      <c r="P222" s="154">
        <v>227000000</v>
      </c>
      <c r="Q222" s="154">
        <v>0</v>
      </c>
      <c r="R222" s="154">
        <v>0</v>
      </c>
      <c r="S222" s="154">
        <v>227000000</v>
      </c>
      <c r="T222" s="154">
        <v>0</v>
      </c>
      <c r="U222" s="154">
        <v>90000000</v>
      </c>
      <c r="V222" s="154">
        <v>137000000</v>
      </c>
      <c r="W222" s="154">
        <v>90000000</v>
      </c>
      <c r="X222" s="154">
        <v>90000000</v>
      </c>
      <c r="Y222" s="154">
        <v>65000000</v>
      </c>
      <c r="Z222" s="154">
        <v>65000000</v>
      </c>
    </row>
    <row r="223" spans="1:26" s="141" customFormat="1" ht="22.5">
      <c r="A223" s="65" t="s">
        <v>55</v>
      </c>
      <c r="B223" s="249" t="s">
        <v>416</v>
      </c>
      <c r="C223" s="250" t="s">
        <v>432</v>
      </c>
      <c r="D223" s="65" t="s">
        <v>11</v>
      </c>
      <c r="E223" s="65" t="s">
        <v>310</v>
      </c>
      <c r="F223" s="65"/>
      <c r="G223" s="65"/>
      <c r="H223" s="65"/>
      <c r="I223" s="65"/>
      <c r="J223" s="65"/>
      <c r="K223" s="65"/>
      <c r="L223" s="65" t="s">
        <v>116</v>
      </c>
      <c r="M223" s="65" t="s">
        <v>117</v>
      </c>
      <c r="N223" s="65" t="s">
        <v>118</v>
      </c>
      <c r="O223" s="249" t="s">
        <v>433</v>
      </c>
      <c r="P223" s="154">
        <v>154000000</v>
      </c>
      <c r="Q223" s="154">
        <v>0</v>
      </c>
      <c r="R223" s="154">
        <v>0</v>
      </c>
      <c r="S223" s="154">
        <v>154000000</v>
      </c>
      <c r="T223" s="154">
        <v>0</v>
      </c>
      <c r="U223" s="154">
        <v>154000000</v>
      </c>
      <c r="V223" s="154">
        <v>0</v>
      </c>
      <c r="W223" s="154">
        <v>151703415</v>
      </c>
      <c r="X223" s="154">
        <v>13797144</v>
      </c>
      <c r="Y223" s="154">
        <v>0</v>
      </c>
      <c r="Z223" s="154">
        <v>0</v>
      </c>
    </row>
    <row r="224" spans="1:26" s="141" customFormat="1" ht="22.5">
      <c r="A224" s="65" t="s">
        <v>55</v>
      </c>
      <c r="B224" s="249" t="s">
        <v>416</v>
      </c>
      <c r="C224" s="250" t="s">
        <v>294</v>
      </c>
      <c r="D224" s="65" t="s">
        <v>11</v>
      </c>
      <c r="E224" s="65" t="s">
        <v>332</v>
      </c>
      <c r="F224" s="65" t="s">
        <v>318</v>
      </c>
      <c r="G224" s="65" t="s">
        <v>307</v>
      </c>
      <c r="H224" s="65"/>
      <c r="I224" s="65"/>
      <c r="J224" s="65"/>
      <c r="K224" s="65"/>
      <c r="L224" s="65" t="s">
        <v>116</v>
      </c>
      <c r="M224" s="65" t="s">
        <v>125</v>
      </c>
      <c r="N224" s="65" t="s">
        <v>126</v>
      </c>
      <c r="O224" s="249" t="s">
        <v>334</v>
      </c>
      <c r="P224" s="154">
        <v>13000000</v>
      </c>
      <c r="Q224" s="154">
        <v>0</v>
      </c>
      <c r="R224" s="154">
        <v>0</v>
      </c>
      <c r="S224" s="154">
        <v>13000000</v>
      </c>
      <c r="T224" s="154">
        <v>0</v>
      </c>
      <c r="U224" s="154">
        <v>0</v>
      </c>
      <c r="V224" s="154">
        <v>13000000</v>
      </c>
      <c r="W224" s="154">
        <v>0</v>
      </c>
      <c r="X224" s="154">
        <v>0</v>
      </c>
      <c r="Y224" s="154">
        <v>0</v>
      </c>
      <c r="Z224" s="154">
        <v>0</v>
      </c>
    </row>
    <row r="225" spans="1:26" s="141" customFormat="1" ht="45">
      <c r="A225" s="65" t="s">
        <v>55</v>
      </c>
      <c r="B225" s="249" t="s">
        <v>416</v>
      </c>
      <c r="C225" s="250" t="s">
        <v>426</v>
      </c>
      <c r="D225" s="65" t="s">
        <v>16</v>
      </c>
      <c r="E225" s="65" t="s">
        <v>136</v>
      </c>
      <c r="F225" s="65" t="s">
        <v>132</v>
      </c>
      <c r="G225" s="65" t="s">
        <v>441</v>
      </c>
      <c r="H225" s="65" t="s">
        <v>84</v>
      </c>
      <c r="I225" s="65" t="s">
        <v>84</v>
      </c>
      <c r="J225" s="65" t="s">
        <v>84</v>
      </c>
      <c r="K225" s="65" t="s">
        <v>84</v>
      </c>
      <c r="L225" s="65" t="s">
        <v>116</v>
      </c>
      <c r="M225" s="65" t="s">
        <v>125</v>
      </c>
      <c r="N225" s="65" t="s">
        <v>118</v>
      </c>
      <c r="O225" s="249" t="s">
        <v>534</v>
      </c>
      <c r="P225" s="154">
        <v>11987095610</v>
      </c>
      <c r="Q225" s="154">
        <v>0</v>
      </c>
      <c r="R225" s="154">
        <v>0</v>
      </c>
      <c r="S225" s="154">
        <v>11987095610</v>
      </c>
      <c r="T225" s="154">
        <v>0</v>
      </c>
      <c r="U225" s="154">
        <v>11987095610</v>
      </c>
      <c r="V225" s="154">
        <v>0</v>
      </c>
      <c r="W225" s="154">
        <v>11986916527</v>
      </c>
      <c r="X225" s="154">
        <v>0</v>
      </c>
      <c r="Y225" s="154">
        <v>0</v>
      </c>
      <c r="Z225" s="154">
        <v>0</v>
      </c>
    </row>
    <row r="226" spans="1:26" s="141" customFormat="1" ht="33.75">
      <c r="A226" s="65" t="s">
        <v>53</v>
      </c>
      <c r="B226" s="249" t="s">
        <v>417</v>
      </c>
      <c r="C226" s="250" t="s">
        <v>306</v>
      </c>
      <c r="D226" s="65" t="s">
        <v>11</v>
      </c>
      <c r="E226" s="65" t="s">
        <v>307</v>
      </c>
      <c r="F226" s="65" t="s">
        <v>307</v>
      </c>
      <c r="G226" s="65" t="s">
        <v>307</v>
      </c>
      <c r="H226" s="65"/>
      <c r="I226" s="65"/>
      <c r="J226" s="65"/>
      <c r="K226" s="65"/>
      <c r="L226" s="65" t="s">
        <v>116</v>
      </c>
      <c r="M226" s="65" t="s">
        <v>117</v>
      </c>
      <c r="N226" s="65" t="s">
        <v>118</v>
      </c>
      <c r="O226" s="249" t="s">
        <v>308</v>
      </c>
      <c r="P226" s="154">
        <v>1933898000</v>
      </c>
      <c r="Q226" s="154">
        <v>0</v>
      </c>
      <c r="R226" s="154">
        <v>0</v>
      </c>
      <c r="S226" s="154">
        <v>1933898000</v>
      </c>
      <c r="T226" s="154">
        <v>0</v>
      </c>
      <c r="U226" s="154">
        <v>536327568</v>
      </c>
      <c r="V226" s="154">
        <v>1397570432</v>
      </c>
      <c r="W226" s="154">
        <v>536327568</v>
      </c>
      <c r="X226" s="154">
        <v>536327568</v>
      </c>
      <c r="Y226" s="154">
        <v>535340058</v>
      </c>
      <c r="Z226" s="154">
        <v>535340058</v>
      </c>
    </row>
    <row r="227" spans="1:26" s="141" customFormat="1" ht="33.75">
      <c r="A227" s="65" t="s">
        <v>53</v>
      </c>
      <c r="B227" s="249" t="s">
        <v>417</v>
      </c>
      <c r="C227" s="250" t="s">
        <v>309</v>
      </c>
      <c r="D227" s="65" t="s">
        <v>11</v>
      </c>
      <c r="E227" s="65" t="s">
        <v>307</v>
      </c>
      <c r="F227" s="65" t="s">
        <v>307</v>
      </c>
      <c r="G227" s="65" t="s">
        <v>310</v>
      </c>
      <c r="H227" s="65"/>
      <c r="I227" s="65"/>
      <c r="J227" s="65"/>
      <c r="K227" s="65"/>
      <c r="L227" s="65" t="s">
        <v>116</v>
      </c>
      <c r="M227" s="65" t="s">
        <v>117</v>
      </c>
      <c r="N227" s="65" t="s">
        <v>118</v>
      </c>
      <c r="O227" s="249" t="s">
        <v>311</v>
      </c>
      <c r="P227" s="154">
        <v>422000000</v>
      </c>
      <c r="Q227" s="154">
        <v>0</v>
      </c>
      <c r="R227" s="154">
        <v>0</v>
      </c>
      <c r="S227" s="154">
        <v>422000000</v>
      </c>
      <c r="T227" s="154">
        <v>0</v>
      </c>
      <c r="U227" s="154">
        <v>159673364</v>
      </c>
      <c r="V227" s="154">
        <v>262326636</v>
      </c>
      <c r="W227" s="154">
        <v>159673364</v>
      </c>
      <c r="X227" s="154">
        <v>159673364</v>
      </c>
      <c r="Y227" s="154">
        <v>159673364</v>
      </c>
      <c r="Z227" s="154">
        <v>159673364</v>
      </c>
    </row>
    <row r="228" spans="1:26" s="141" customFormat="1" ht="33.75">
      <c r="A228" s="65" t="s">
        <v>53</v>
      </c>
      <c r="B228" s="249" t="s">
        <v>417</v>
      </c>
      <c r="C228" s="250" t="s">
        <v>312</v>
      </c>
      <c r="D228" s="65" t="s">
        <v>11</v>
      </c>
      <c r="E228" s="65" t="s">
        <v>307</v>
      </c>
      <c r="F228" s="65" t="s">
        <v>307</v>
      </c>
      <c r="G228" s="65" t="s">
        <v>313</v>
      </c>
      <c r="H228" s="65"/>
      <c r="I228" s="65"/>
      <c r="J228" s="65"/>
      <c r="K228" s="65"/>
      <c r="L228" s="65" t="s">
        <v>116</v>
      </c>
      <c r="M228" s="65" t="s">
        <v>117</v>
      </c>
      <c r="N228" s="65" t="s">
        <v>118</v>
      </c>
      <c r="O228" s="249" t="s">
        <v>314</v>
      </c>
      <c r="P228" s="154">
        <v>187500000</v>
      </c>
      <c r="Q228" s="154">
        <v>0</v>
      </c>
      <c r="R228" s="154">
        <v>0</v>
      </c>
      <c r="S228" s="154">
        <v>187500000</v>
      </c>
      <c r="T228" s="154">
        <v>0</v>
      </c>
      <c r="U228" s="154">
        <v>78342708</v>
      </c>
      <c r="V228" s="154">
        <v>109157292</v>
      </c>
      <c r="W228" s="154">
        <v>78342708</v>
      </c>
      <c r="X228" s="154">
        <v>78342708</v>
      </c>
      <c r="Y228" s="154">
        <v>78342708</v>
      </c>
      <c r="Z228" s="154">
        <v>78342708</v>
      </c>
    </row>
    <row r="229" spans="1:26" s="141" customFormat="1" ht="33.75">
      <c r="A229" s="65" t="s">
        <v>53</v>
      </c>
      <c r="B229" s="249" t="s">
        <v>417</v>
      </c>
      <c r="C229" s="250" t="s">
        <v>432</v>
      </c>
      <c r="D229" s="65" t="s">
        <v>11</v>
      </c>
      <c r="E229" s="65" t="s">
        <v>310</v>
      </c>
      <c r="F229" s="65"/>
      <c r="G229" s="65"/>
      <c r="H229" s="65"/>
      <c r="I229" s="65"/>
      <c r="J229" s="65"/>
      <c r="K229" s="65"/>
      <c r="L229" s="65" t="s">
        <v>116</v>
      </c>
      <c r="M229" s="65" t="s">
        <v>117</v>
      </c>
      <c r="N229" s="65" t="s">
        <v>118</v>
      </c>
      <c r="O229" s="249" t="s">
        <v>433</v>
      </c>
      <c r="P229" s="154">
        <v>24500000</v>
      </c>
      <c r="Q229" s="154">
        <v>0</v>
      </c>
      <c r="R229" s="154">
        <v>0</v>
      </c>
      <c r="S229" s="154">
        <v>24500000</v>
      </c>
      <c r="T229" s="154">
        <v>0</v>
      </c>
      <c r="U229" s="154">
        <v>24500000</v>
      </c>
      <c r="V229" s="154">
        <v>0</v>
      </c>
      <c r="W229" s="154">
        <v>24500000</v>
      </c>
      <c r="X229" s="154">
        <v>24500000</v>
      </c>
      <c r="Y229" s="154">
        <v>24500000</v>
      </c>
      <c r="Z229" s="154">
        <v>24500000</v>
      </c>
    </row>
    <row r="230" spans="1:26" s="141" customFormat="1" ht="33.75">
      <c r="A230" s="65" t="s">
        <v>53</v>
      </c>
      <c r="B230" s="249" t="s">
        <v>417</v>
      </c>
      <c r="C230" s="250" t="s">
        <v>298</v>
      </c>
      <c r="D230" s="65" t="s">
        <v>11</v>
      </c>
      <c r="E230" s="65" t="s">
        <v>332</v>
      </c>
      <c r="F230" s="65" t="s">
        <v>307</v>
      </c>
      <c r="G230" s="65"/>
      <c r="H230" s="65"/>
      <c r="I230" s="65"/>
      <c r="J230" s="65"/>
      <c r="K230" s="65"/>
      <c r="L230" s="65" t="s">
        <v>116</v>
      </c>
      <c r="M230" s="65" t="s">
        <v>117</v>
      </c>
      <c r="N230" s="65" t="s">
        <v>118</v>
      </c>
      <c r="O230" s="249" t="s">
        <v>333</v>
      </c>
      <c r="P230" s="154">
        <v>1739000</v>
      </c>
      <c r="Q230" s="154">
        <v>0</v>
      </c>
      <c r="R230" s="154">
        <v>0</v>
      </c>
      <c r="S230" s="154">
        <v>1739000</v>
      </c>
      <c r="T230" s="154">
        <v>0</v>
      </c>
      <c r="U230" s="154">
        <v>0</v>
      </c>
      <c r="V230" s="154">
        <v>1739000</v>
      </c>
      <c r="W230" s="154">
        <v>0</v>
      </c>
      <c r="X230" s="154">
        <v>0</v>
      </c>
      <c r="Y230" s="154">
        <v>0</v>
      </c>
      <c r="Z230" s="154">
        <v>0</v>
      </c>
    </row>
    <row r="231" spans="1:26" s="141" customFormat="1" ht="33.75">
      <c r="A231" s="65" t="s">
        <v>53</v>
      </c>
      <c r="B231" s="249" t="s">
        <v>417</v>
      </c>
      <c r="C231" s="250" t="s">
        <v>294</v>
      </c>
      <c r="D231" s="65" t="s">
        <v>11</v>
      </c>
      <c r="E231" s="65" t="s">
        <v>332</v>
      </c>
      <c r="F231" s="65" t="s">
        <v>318</v>
      </c>
      <c r="G231" s="65" t="s">
        <v>307</v>
      </c>
      <c r="H231" s="65"/>
      <c r="I231" s="65"/>
      <c r="J231" s="65"/>
      <c r="K231" s="65"/>
      <c r="L231" s="65" t="s">
        <v>116</v>
      </c>
      <c r="M231" s="65" t="s">
        <v>125</v>
      </c>
      <c r="N231" s="65" t="s">
        <v>126</v>
      </c>
      <c r="O231" s="249" t="s">
        <v>334</v>
      </c>
      <c r="P231" s="154">
        <v>12500000</v>
      </c>
      <c r="Q231" s="154">
        <v>0</v>
      </c>
      <c r="R231" s="154">
        <v>0</v>
      </c>
      <c r="S231" s="154">
        <v>12500000</v>
      </c>
      <c r="T231" s="154">
        <v>0</v>
      </c>
      <c r="U231" s="154">
        <v>0</v>
      </c>
      <c r="V231" s="154">
        <v>12500000</v>
      </c>
      <c r="W231" s="154">
        <v>0</v>
      </c>
      <c r="X231" s="154">
        <v>0</v>
      </c>
      <c r="Y231" s="154">
        <v>0</v>
      </c>
      <c r="Z231" s="154">
        <v>0</v>
      </c>
    </row>
    <row r="232" spans="1:26" s="141" customFormat="1" ht="33.75">
      <c r="A232" s="65" t="s">
        <v>53</v>
      </c>
      <c r="B232" s="249" t="s">
        <v>417</v>
      </c>
      <c r="C232" s="250" t="s">
        <v>436</v>
      </c>
      <c r="D232" s="65" t="s">
        <v>430</v>
      </c>
      <c r="E232" s="65" t="s">
        <v>117</v>
      </c>
      <c r="F232" s="65" t="s">
        <v>318</v>
      </c>
      <c r="G232" s="65" t="s">
        <v>307</v>
      </c>
      <c r="H232" s="65"/>
      <c r="I232" s="65"/>
      <c r="J232" s="65"/>
      <c r="K232" s="65"/>
      <c r="L232" s="65" t="s">
        <v>116</v>
      </c>
      <c r="M232" s="65" t="s">
        <v>125</v>
      </c>
      <c r="N232" s="65" t="s">
        <v>118</v>
      </c>
      <c r="O232" s="249" t="s">
        <v>437</v>
      </c>
      <c r="P232" s="154">
        <v>263760071</v>
      </c>
      <c r="Q232" s="154">
        <v>0</v>
      </c>
      <c r="R232" s="154">
        <v>0</v>
      </c>
      <c r="S232" s="154">
        <v>263760071</v>
      </c>
      <c r="T232" s="154">
        <v>0</v>
      </c>
      <c r="U232" s="154">
        <v>0</v>
      </c>
      <c r="V232" s="154">
        <v>263760071</v>
      </c>
      <c r="W232" s="154">
        <v>0</v>
      </c>
      <c r="X232" s="154">
        <v>0</v>
      </c>
      <c r="Y232" s="154">
        <v>0</v>
      </c>
      <c r="Z232" s="154">
        <v>0</v>
      </c>
    </row>
    <row r="233" spans="1:26" s="141" customFormat="1" ht="33.75">
      <c r="A233" s="65" t="s">
        <v>82</v>
      </c>
      <c r="B233" s="249" t="s">
        <v>418</v>
      </c>
      <c r="C233" s="250" t="s">
        <v>306</v>
      </c>
      <c r="D233" s="65" t="s">
        <v>11</v>
      </c>
      <c r="E233" s="65" t="s">
        <v>307</v>
      </c>
      <c r="F233" s="65" t="s">
        <v>307</v>
      </c>
      <c r="G233" s="65" t="s">
        <v>307</v>
      </c>
      <c r="H233" s="65"/>
      <c r="I233" s="65"/>
      <c r="J233" s="65"/>
      <c r="K233" s="65"/>
      <c r="L233" s="65" t="s">
        <v>116</v>
      </c>
      <c r="M233" s="65" t="s">
        <v>117</v>
      </c>
      <c r="N233" s="65" t="s">
        <v>118</v>
      </c>
      <c r="O233" s="249" t="s">
        <v>308</v>
      </c>
      <c r="P233" s="154">
        <v>1964000000</v>
      </c>
      <c r="Q233" s="154">
        <v>0</v>
      </c>
      <c r="R233" s="154">
        <v>0</v>
      </c>
      <c r="S233" s="154">
        <v>1964000000</v>
      </c>
      <c r="T233" s="154">
        <v>0</v>
      </c>
      <c r="U233" s="154">
        <v>507905900</v>
      </c>
      <c r="V233" s="154">
        <v>1456094100</v>
      </c>
      <c r="W233" s="154">
        <v>507905900</v>
      </c>
      <c r="X233" s="154">
        <v>371833021</v>
      </c>
      <c r="Y233" s="154">
        <v>371833021</v>
      </c>
      <c r="Z233" s="154">
        <v>371833021</v>
      </c>
    </row>
    <row r="234" spans="1:26" s="141" customFormat="1" ht="33.75">
      <c r="A234" s="65" t="s">
        <v>82</v>
      </c>
      <c r="B234" s="249" t="s">
        <v>418</v>
      </c>
      <c r="C234" s="250" t="s">
        <v>309</v>
      </c>
      <c r="D234" s="65" t="s">
        <v>11</v>
      </c>
      <c r="E234" s="65" t="s">
        <v>307</v>
      </c>
      <c r="F234" s="65" t="s">
        <v>307</v>
      </c>
      <c r="G234" s="65" t="s">
        <v>310</v>
      </c>
      <c r="H234" s="65"/>
      <c r="I234" s="65"/>
      <c r="J234" s="65"/>
      <c r="K234" s="65"/>
      <c r="L234" s="65" t="s">
        <v>116</v>
      </c>
      <c r="M234" s="65" t="s">
        <v>117</v>
      </c>
      <c r="N234" s="65" t="s">
        <v>118</v>
      </c>
      <c r="O234" s="249" t="s">
        <v>311</v>
      </c>
      <c r="P234" s="154">
        <v>839000000</v>
      </c>
      <c r="Q234" s="154">
        <v>0</v>
      </c>
      <c r="R234" s="154">
        <v>0</v>
      </c>
      <c r="S234" s="154">
        <v>839000000</v>
      </c>
      <c r="T234" s="154">
        <v>0</v>
      </c>
      <c r="U234" s="154">
        <v>151363251</v>
      </c>
      <c r="V234" s="154">
        <v>687636749</v>
      </c>
      <c r="W234" s="154">
        <v>151363251</v>
      </c>
      <c r="X234" s="154">
        <v>67679770</v>
      </c>
      <c r="Y234" s="154">
        <v>67679770</v>
      </c>
      <c r="Z234" s="154">
        <v>67679770</v>
      </c>
    </row>
    <row r="235" spans="1:26" s="141" customFormat="1" ht="33.75">
      <c r="A235" s="65" t="s">
        <v>82</v>
      </c>
      <c r="B235" s="249" t="s">
        <v>418</v>
      </c>
      <c r="C235" s="250" t="s">
        <v>294</v>
      </c>
      <c r="D235" s="65" t="s">
        <v>11</v>
      </c>
      <c r="E235" s="65" t="s">
        <v>332</v>
      </c>
      <c r="F235" s="65" t="s">
        <v>318</v>
      </c>
      <c r="G235" s="65" t="s">
        <v>307</v>
      </c>
      <c r="H235" s="65"/>
      <c r="I235" s="65"/>
      <c r="J235" s="65"/>
      <c r="K235" s="65"/>
      <c r="L235" s="65" t="s">
        <v>116</v>
      </c>
      <c r="M235" s="65" t="s">
        <v>125</v>
      </c>
      <c r="N235" s="65" t="s">
        <v>126</v>
      </c>
      <c r="O235" s="249" t="s">
        <v>334</v>
      </c>
      <c r="P235" s="154">
        <v>19000000</v>
      </c>
      <c r="Q235" s="154">
        <v>0</v>
      </c>
      <c r="R235" s="154">
        <v>0</v>
      </c>
      <c r="S235" s="154">
        <v>19000000</v>
      </c>
      <c r="T235" s="154">
        <v>0</v>
      </c>
      <c r="U235" s="154">
        <v>0</v>
      </c>
      <c r="V235" s="154">
        <v>19000000</v>
      </c>
      <c r="W235" s="154">
        <v>0</v>
      </c>
      <c r="X235" s="154">
        <v>0</v>
      </c>
      <c r="Y235" s="154">
        <v>0</v>
      </c>
      <c r="Z235" s="154">
        <v>0</v>
      </c>
    </row>
    <row r="236" spans="1:26" s="141" customFormat="1" ht="33.75">
      <c r="A236" s="65" t="s">
        <v>82</v>
      </c>
      <c r="B236" s="249" t="s">
        <v>418</v>
      </c>
      <c r="C236" s="250" t="s">
        <v>436</v>
      </c>
      <c r="D236" s="65" t="s">
        <v>430</v>
      </c>
      <c r="E236" s="65" t="s">
        <v>117</v>
      </c>
      <c r="F236" s="65" t="s">
        <v>318</v>
      </c>
      <c r="G236" s="65" t="s">
        <v>307</v>
      </c>
      <c r="H236" s="65"/>
      <c r="I236" s="65"/>
      <c r="J236" s="65"/>
      <c r="K236" s="65"/>
      <c r="L236" s="65" t="s">
        <v>116</v>
      </c>
      <c r="M236" s="65" t="s">
        <v>125</v>
      </c>
      <c r="N236" s="65" t="s">
        <v>118</v>
      </c>
      <c r="O236" s="249" t="s">
        <v>437</v>
      </c>
      <c r="P236" s="154">
        <v>6542584567</v>
      </c>
      <c r="Q236" s="154">
        <v>0</v>
      </c>
      <c r="R236" s="154">
        <v>0</v>
      </c>
      <c r="S236" s="154">
        <v>6542584567</v>
      </c>
      <c r="T236" s="154">
        <v>0</v>
      </c>
      <c r="U236" s="154">
        <v>0</v>
      </c>
      <c r="V236" s="154">
        <v>6542584567</v>
      </c>
      <c r="W236" s="154">
        <v>0</v>
      </c>
      <c r="X236" s="154">
        <v>0</v>
      </c>
      <c r="Y236" s="154">
        <v>0</v>
      </c>
      <c r="Z236" s="154">
        <v>0</v>
      </c>
    </row>
    <row r="237" spans="1:26" s="141" customFormat="1" ht="33.75">
      <c r="A237" s="65" t="s">
        <v>73</v>
      </c>
      <c r="B237" s="249" t="s">
        <v>419</v>
      </c>
      <c r="C237" s="250" t="s">
        <v>306</v>
      </c>
      <c r="D237" s="65" t="s">
        <v>11</v>
      </c>
      <c r="E237" s="65" t="s">
        <v>307</v>
      </c>
      <c r="F237" s="65" t="s">
        <v>307</v>
      </c>
      <c r="G237" s="65" t="s">
        <v>307</v>
      </c>
      <c r="H237" s="65"/>
      <c r="I237" s="65"/>
      <c r="J237" s="65"/>
      <c r="K237" s="65"/>
      <c r="L237" s="65" t="s">
        <v>116</v>
      </c>
      <c r="M237" s="65" t="s">
        <v>117</v>
      </c>
      <c r="N237" s="65" t="s">
        <v>118</v>
      </c>
      <c r="O237" s="249" t="s">
        <v>308</v>
      </c>
      <c r="P237" s="154">
        <v>1523600000</v>
      </c>
      <c r="Q237" s="154">
        <v>0</v>
      </c>
      <c r="R237" s="154">
        <v>0</v>
      </c>
      <c r="S237" s="154">
        <v>1523600000</v>
      </c>
      <c r="T237" s="154">
        <v>0</v>
      </c>
      <c r="U237" s="154">
        <v>450000000</v>
      </c>
      <c r="V237" s="154">
        <v>1073600000</v>
      </c>
      <c r="W237" s="154">
        <v>450000000</v>
      </c>
      <c r="X237" s="154">
        <v>450000000</v>
      </c>
      <c r="Y237" s="154">
        <v>450000000</v>
      </c>
      <c r="Z237" s="154">
        <v>450000000</v>
      </c>
    </row>
    <row r="238" spans="1:26" s="141" customFormat="1" ht="33.75">
      <c r="A238" s="65" t="s">
        <v>73</v>
      </c>
      <c r="B238" s="249" t="s">
        <v>419</v>
      </c>
      <c r="C238" s="250" t="s">
        <v>309</v>
      </c>
      <c r="D238" s="65" t="s">
        <v>11</v>
      </c>
      <c r="E238" s="65" t="s">
        <v>307</v>
      </c>
      <c r="F238" s="65" t="s">
        <v>307</v>
      </c>
      <c r="G238" s="65" t="s">
        <v>310</v>
      </c>
      <c r="H238" s="65"/>
      <c r="I238" s="65"/>
      <c r="J238" s="65"/>
      <c r="K238" s="65"/>
      <c r="L238" s="65" t="s">
        <v>116</v>
      </c>
      <c r="M238" s="65" t="s">
        <v>117</v>
      </c>
      <c r="N238" s="65" t="s">
        <v>118</v>
      </c>
      <c r="O238" s="249" t="s">
        <v>311</v>
      </c>
      <c r="P238" s="154">
        <v>462400000</v>
      </c>
      <c r="Q238" s="154">
        <v>0</v>
      </c>
      <c r="R238" s="154">
        <v>0</v>
      </c>
      <c r="S238" s="154">
        <v>462400000</v>
      </c>
      <c r="T238" s="154">
        <v>0</v>
      </c>
      <c r="U238" s="154">
        <v>225000000</v>
      </c>
      <c r="V238" s="154">
        <v>237400000</v>
      </c>
      <c r="W238" s="154">
        <v>225000000</v>
      </c>
      <c r="X238" s="154">
        <v>225000000</v>
      </c>
      <c r="Y238" s="154">
        <v>225000000</v>
      </c>
      <c r="Z238" s="154">
        <v>225000000</v>
      </c>
    </row>
    <row r="239" spans="1:26" s="141" customFormat="1" ht="33.75">
      <c r="A239" s="65" t="s">
        <v>73</v>
      </c>
      <c r="B239" s="249" t="s">
        <v>419</v>
      </c>
      <c r="C239" s="250" t="s">
        <v>312</v>
      </c>
      <c r="D239" s="65" t="s">
        <v>11</v>
      </c>
      <c r="E239" s="65" t="s">
        <v>307</v>
      </c>
      <c r="F239" s="65" t="s">
        <v>307</v>
      </c>
      <c r="G239" s="65" t="s">
        <v>313</v>
      </c>
      <c r="H239" s="65"/>
      <c r="I239" s="65"/>
      <c r="J239" s="65"/>
      <c r="K239" s="65"/>
      <c r="L239" s="65" t="s">
        <v>116</v>
      </c>
      <c r="M239" s="65" t="s">
        <v>117</v>
      </c>
      <c r="N239" s="65" t="s">
        <v>118</v>
      </c>
      <c r="O239" s="249" t="s">
        <v>314</v>
      </c>
      <c r="P239" s="154">
        <v>213800000</v>
      </c>
      <c r="Q239" s="154">
        <v>0</v>
      </c>
      <c r="R239" s="154">
        <v>0</v>
      </c>
      <c r="S239" s="154">
        <v>213800000</v>
      </c>
      <c r="T239" s="154">
        <v>0</v>
      </c>
      <c r="U239" s="154">
        <v>75000000</v>
      </c>
      <c r="V239" s="154">
        <v>138800000</v>
      </c>
      <c r="W239" s="154">
        <v>75000000</v>
      </c>
      <c r="X239" s="154">
        <v>75000000</v>
      </c>
      <c r="Y239" s="154">
        <v>75000000</v>
      </c>
      <c r="Z239" s="154">
        <v>75000000</v>
      </c>
    </row>
    <row r="240" spans="1:26" s="141" customFormat="1" ht="33.75">
      <c r="A240" s="65" t="s">
        <v>73</v>
      </c>
      <c r="B240" s="249" t="s">
        <v>419</v>
      </c>
      <c r="C240" s="250" t="s">
        <v>294</v>
      </c>
      <c r="D240" s="65" t="s">
        <v>11</v>
      </c>
      <c r="E240" s="65" t="s">
        <v>332</v>
      </c>
      <c r="F240" s="65" t="s">
        <v>318</v>
      </c>
      <c r="G240" s="65" t="s">
        <v>307</v>
      </c>
      <c r="H240" s="65"/>
      <c r="I240" s="65"/>
      <c r="J240" s="65"/>
      <c r="K240" s="65"/>
      <c r="L240" s="65" t="s">
        <v>116</v>
      </c>
      <c r="M240" s="65" t="s">
        <v>125</v>
      </c>
      <c r="N240" s="65" t="s">
        <v>126</v>
      </c>
      <c r="O240" s="249" t="s">
        <v>334</v>
      </c>
      <c r="P240" s="154">
        <v>10771200</v>
      </c>
      <c r="Q240" s="154">
        <v>0</v>
      </c>
      <c r="R240" s="154">
        <v>0</v>
      </c>
      <c r="S240" s="154">
        <v>10771200</v>
      </c>
      <c r="T240" s="154">
        <v>0</v>
      </c>
      <c r="U240" s="154">
        <v>0</v>
      </c>
      <c r="V240" s="154">
        <v>10771200</v>
      </c>
      <c r="W240" s="154">
        <v>0</v>
      </c>
      <c r="X240" s="154">
        <v>0</v>
      </c>
      <c r="Y240" s="154">
        <v>0</v>
      </c>
      <c r="Z240" s="154">
        <v>0</v>
      </c>
    </row>
    <row r="241" spans="1:26" s="141" customFormat="1" ht="22.5">
      <c r="A241" s="65" t="s">
        <v>54</v>
      </c>
      <c r="B241" s="249" t="s">
        <v>420</v>
      </c>
      <c r="C241" s="250" t="s">
        <v>306</v>
      </c>
      <c r="D241" s="65" t="s">
        <v>11</v>
      </c>
      <c r="E241" s="65" t="s">
        <v>307</v>
      </c>
      <c r="F241" s="65" t="s">
        <v>307</v>
      </c>
      <c r="G241" s="65" t="s">
        <v>307</v>
      </c>
      <c r="H241" s="65"/>
      <c r="I241" s="65"/>
      <c r="J241" s="65"/>
      <c r="K241" s="65"/>
      <c r="L241" s="65" t="s">
        <v>116</v>
      </c>
      <c r="M241" s="65" t="s">
        <v>117</v>
      </c>
      <c r="N241" s="65" t="s">
        <v>118</v>
      </c>
      <c r="O241" s="249" t="s">
        <v>308</v>
      </c>
      <c r="P241" s="154">
        <v>1722200000</v>
      </c>
      <c r="Q241" s="154">
        <v>0</v>
      </c>
      <c r="R241" s="154">
        <v>0</v>
      </c>
      <c r="S241" s="154">
        <v>1722200000</v>
      </c>
      <c r="T241" s="154">
        <v>0</v>
      </c>
      <c r="U241" s="154">
        <v>308695501</v>
      </c>
      <c r="V241" s="154">
        <v>1413504499</v>
      </c>
      <c r="W241" s="154">
        <v>308695501</v>
      </c>
      <c r="X241" s="154">
        <v>308695501</v>
      </c>
      <c r="Y241" s="154">
        <v>308695501</v>
      </c>
      <c r="Z241" s="154">
        <v>308695501</v>
      </c>
    </row>
    <row r="242" spans="1:26" s="141" customFormat="1" ht="22.5">
      <c r="A242" s="65" t="s">
        <v>54</v>
      </c>
      <c r="B242" s="249" t="s">
        <v>420</v>
      </c>
      <c r="C242" s="250" t="s">
        <v>309</v>
      </c>
      <c r="D242" s="65" t="s">
        <v>11</v>
      </c>
      <c r="E242" s="65" t="s">
        <v>307</v>
      </c>
      <c r="F242" s="65" t="s">
        <v>307</v>
      </c>
      <c r="G242" s="65" t="s">
        <v>310</v>
      </c>
      <c r="H242" s="65"/>
      <c r="I242" s="65"/>
      <c r="J242" s="65"/>
      <c r="K242" s="65"/>
      <c r="L242" s="65" t="s">
        <v>116</v>
      </c>
      <c r="M242" s="65" t="s">
        <v>117</v>
      </c>
      <c r="N242" s="65" t="s">
        <v>118</v>
      </c>
      <c r="O242" s="249" t="s">
        <v>311</v>
      </c>
      <c r="P242" s="154">
        <v>442700000</v>
      </c>
      <c r="Q242" s="154">
        <v>0</v>
      </c>
      <c r="R242" s="154">
        <v>0</v>
      </c>
      <c r="S242" s="154">
        <v>442700000</v>
      </c>
      <c r="T242" s="154">
        <v>0</v>
      </c>
      <c r="U242" s="154">
        <v>130950661</v>
      </c>
      <c r="V242" s="154">
        <v>311749339</v>
      </c>
      <c r="W242" s="154">
        <v>130950661</v>
      </c>
      <c r="X242" s="154">
        <v>130950661</v>
      </c>
      <c r="Y242" s="154">
        <v>130950661</v>
      </c>
      <c r="Z242" s="154">
        <v>130950661</v>
      </c>
    </row>
    <row r="243" spans="1:26" s="141" customFormat="1" ht="33.75">
      <c r="A243" s="65" t="s">
        <v>54</v>
      </c>
      <c r="B243" s="249" t="s">
        <v>420</v>
      </c>
      <c r="C243" s="250" t="s">
        <v>312</v>
      </c>
      <c r="D243" s="65" t="s">
        <v>11</v>
      </c>
      <c r="E243" s="65" t="s">
        <v>307</v>
      </c>
      <c r="F243" s="65" t="s">
        <v>307</v>
      </c>
      <c r="G243" s="65" t="s">
        <v>313</v>
      </c>
      <c r="H243" s="65"/>
      <c r="I243" s="65"/>
      <c r="J243" s="65"/>
      <c r="K243" s="65"/>
      <c r="L243" s="65" t="s">
        <v>116</v>
      </c>
      <c r="M243" s="65" t="s">
        <v>117</v>
      </c>
      <c r="N243" s="65" t="s">
        <v>118</v>
      </c>
      <c r="O243" s="249" t="s">
        <v>314</v>
      </c>
      <c r="P243" s="154">
        <v>228900000</v>
      </c>
      <c r="Q243" s="154">
        <v>0</v>
      </c>
      <c r="R243" s="154">
        <v>0</v>
      </c>
      <c r="S243" s="154">
        <v>228900000</v>
      </c>
      <c r="T243" s="154">
        <v>0</v>
      </c>
      <c r="U243" s="154">
        <v>70353838</v>
      </c>
      <c r="V243" s="154">
        <v>158546162</v>
      </c>
      <c r="W243" s="154">
        <v>70353838</v>
      </c>
      <c r="X243" s="154">
        <v>70353838</v>
      </c>
      <c r="Y243" s="154">
        <v>70353838</v>
      </c>
      <c r="Z243" s="154">
        <v>70353838</v>
      </c>
    </row>
    <row r="244" spans="1:26" s="141" customFormat="1" ht="22.5">
      <c r="A244" s="65" t="s">
        <v>54</v>
      </c>
      <c r="B244" s="249" t="s">
        <v>420</v>
      </c>
      <c r="C244" s="250" t="s">
        <v>432</v>
      </c>
      <c r="D244" s="65" t="s">
        <v>11</v>
      </c>
      <c r="E244" s="65" t="s">
        <v>310</v>
      </c>
      <c r="F244" s="65"/>
      <c r="G244" s="65"/>
      <c r="H244" s="65"/>
      <c r="I244" s="65"/>
      <c r="J244" s="65"/>
      <c r="K244" s="65"/>
      <c r="L244" s="65" t="s">
        <v>116</v>
      </c>
      <c r="M244" s="65" t="s">
        <v>117</v>
      </c>
      <c r="N244" s="65" t="s">
        <v>118</v>
      </c>
      <c r="O244" s="249" t="s">
        <v>433</v>
      </c>
      <c r="P244" s="154">
        <v>89100000</v>
      </c>
      <c r="Q244" s="154">
        <v>0</v>
      </c>
      <c r="R244" s="154">
        <v>0</v>
      </c>
      <c r="S244" s="154">
        <v>89100000</v>
      </c>
      <c r="T244" s="154">
        <v>0</v>
      </c>
      <c r="U244" s="154">
        <v>18200000</v>
      </c>
      <c r="V244" s="154">
        <v>70900000</v>
      </c>
      <c r="W244" s="154">
        <v>18200000</v>
      </c>
      <c r="X244" s="154">
        <v>11200000</v>
      </c>
      <c r="Y244" s="154">
        <v>11200000</v>
      </c>
      <c r="Z244" s="154">
        <v>11200000</v>
      </c>
    </row>
    <row r="245" spans="1:26" s="141" customFormat="1" ht="22.5">
      <c r="A245" s="65" t="s">
        <v>54</v>
      </c>
      <c r="B245" s="249" t="s">
        <v>420</v>
      </c>
      <c r="C245" s="250" t="s">
        <v>298</v>
      </c>
      <c r="D245" s="65" t="s">
        <v>11</v>
      </c>
      <c r="E245" s="65" t="s">
        <v>332</v>
      </c>
      <c r="F245" s="65" t="s">
        <v>307</v>
      </c>
      <c r="G245" s="65"/>
      <c r="H245" s="65"/>
      <c r="I245" s="65"/>
      <c r="J245" s="65"/>
      <c r="K245" s="65"/>
      <c r="L245" s="65" t="s">
        <v>116</v>
      </c>
      <c r="M245" s="65" t="s">
        <v>117</v>
      </c>
      <c r="N245" s="65" t="s">
        <v>118</v>
      </c>
      <c r="O245" s="249" t="s">
        <v>333</v>
      </c>
      <c r="P245" s="154">
        <v>5000000</v>
      </c>
      <c r="Q245" s="154">
        <v>0</v>
      </c>
      <c r="R245" s="154">
        <v>0</v>
      </c>
      <c r="S245" s="154">
        <v>5000000</v>
      </c>
      <c r="T245" s="154">
        <v>0</v>
      </c>
      <c r="U245" s="154">
        <v>0</v>
      </c>
      <c r="V245" s="154">
        <v>5000000</v>
      </c>
      <c r="W245" s="154">
        <v>0</v>
      </c>
      <c r="X245" s="154">
        <v>0</v>
      </c>
      <c r="Y245" s="154">
        <v>0</v>
      </c>
      <c r="Z245" s="154">
        <v>0</v>
      </c>
    </row>
    <row r="246" spans="1:26" s="141" customFormat="1" ht="22.5">
      <c r="A246" s="65" t="s">
        <v>54</v>
      </c>
      <c r="B246" s="249" t="s">
        <v>420</v>
      </c>
      <c r="C246" s="250" t="s">
        <v>294</v>
      </c>
      <c r="D246" s="65" t="s">
        <v>11</v>
      </c>
      <c r="E246" s="65" t="s">
        <v>332</v>
      </c>
      <c r="F246" s="65" t="s">
        <v>318</v>
      </c>
      <c r="G246" s="65" t="s">
        <v>307</v>
      </c>
      <c r="H246" s="65"/>
      <c r="I246" s="65"/>
      <c r="J246" s="65"/>
      <c r="K246" s="65"/>
      <c r="L246" s="65" t="s">
        <v>116</v>
      </c>
      <c r="M246" s="65" t="s">
        <v>125</v>
      </c>
      <c r="N246" s="65" t="s">
        <v>126</v>
      </c>
      <c r="O246" s="249" t="s">
        <v>334</v>
      </c>
      <c r="P246" s="154">
        <v>15000000</v>
      </c>
      <c r="Q246" s="154">
        <v>0</v>
      </c>
      <c r="R246" s="154">
        <v>0</v>
      </c>
      <c r="S246" s="154">
        <v>15000000</v>
      </c>
      <c r="T246" s="154">
        <v>0</v>
      </c>
      <c r="U246" s="154">
        <v>0</v>
      </c>
      <c r="V246" s="154">
        <v>15000000</v>
      </c>
      <c r="W246" s="154">
        <v>0</v>
      </c>
      <c r="X246" s="154">
        <v>0</v>
      </c>
      <c r="Y246" s="154">
        <v>0</v>
      </c>
      <c r="Z246" s="154">
        <v>0</v>
      </c>
    </row>
    <row r="247" spans="1:26" s="141" customFormat="1" ht="22.5">
      <c r="A247" s="65" t="s">
        <v>54</v>
      </c>
      <c r="B247" s="249" t="s">
        <v>420</v>
      </c>
      <c r="C247" s="250" t="s">
        <v>436</v>
      </c>
      <c r="D247" s="65" t="s">
        <v>430</v>
      </c>
      <c r="E247" s="65" t="s">
        <v>117</v>
      </c>
      <c r="F247" s="65" t="s">
        <v>318</v>
      </c>
      <c r="G247" s="65" t="s">
        <v>307</v>
      </c>
      <c r="H247" s="65"/>
      <c r="I247" s="65"/>
      <c r="J247" s="65"/>
      <c r="K247" s="65"/>
      <c r="L247" s="65" t="s">
        <v>116</v>
      </c>
      <c r="M247" s="65" t="s">
        <v>125</v>
      </c>
      <c r="N247" s="65" t="s">
        <v>118</v>
      </c>
      <c r="O247" s="249" t="s">
        <v>437</v>
      </c>
      <c r="P247" s="154">
        <v>1335666786</v>
      </c>
      <c r="Q247" s="154">
        <v>0</v>
      </c>
      <c r="R247" s="154">
        <v>0</v>
      </c>
      <c r="S247" s="154">
        <v>1335666786</v>
      </c>
      <c r="T247" s="154">
        <v>0</v>
      </c>
      <c r="U247" s="154">
        <v>0</v>
      </c>
      <c r="V247" s="154">
        <v>1335666786</v>
      </c>
      <c r="W247" s="154">
        <v>0</v>
      </c>
      <c r="X247" s="154">
        <v>0</v>
      </c>
      <c r="Y247" s="154">
        <v>0</v>
      </c>
      <c r="Z247" s="154">
        <v>0</v>
      </c>
    </row>
    <row r="248" spans="1:26" s="141" customFormat="1" ht="33.75">
      <c r="A248" s="65" t="s">
        <v>62</v>
      </c>
      <c r="B248" s="249" t="s">
        <v>421</v>
      </c>
      <c r="C248" s="250" t="s">
        <v>306</v>
      </c>
      <c r="D248" s="65" t="s">
        <v>11</v>
      </c>
      <c r="E248" s="65" t="s">
        <v>307</v>
      </c>
      <c r="F248" s="65" t="s">
        <v>307</v>
      </c>
      <c r="G248" s="65" t="s">
        <v>307</v>
      </c>
      <c r="H248" s="65"/>
      <c r="I248" s="65"/>
      <c r="J248" s="65"/>
      <c r="K248" s="65"/>
      <c r="L248" s="65" t="s">
        <v>116</v>
      </c>
      <c r="M248" s="65" t="s">
        <v>117</v>
      </c>
      <c r="N248" s="65" t="s">
        <v>118</v>
      </c>
      <c r="O248" s="249" t="s">
        <v>308</v>
      </c>
      <c r="P248" s="154">
        <v>1640000000</v>
      </c>
      <c r="Q248" s="154">
        <v>0</v>
      </c>
      <c r="R248" s="154">
        <v>0</v>
      </c>
      <c r="S248" s="154">
        <v>1640000000</v>
      </c>
      <c r="T248" s="154">
        <v>0</v>
      </c>
      <c r="U248" s="154">
        <v>524568846</v>
      </c>
      <c r="V248" s="154">
        <v>1115431154</v>
      </c>
      <c r="W248" s="154">
        <v>524568846</v>
      </c>
      <c r="X248" s="154">
        <v>524568846</v>
      </c>
      <c r="Y248" s="154">
        <v>524568846</v>
      </c>
      <c r="Z248" s="154">
        <v>524568846</v>
      </c>
    </row>
    <row r="249" spans="1:26" s="141" customFormat="1" ht="33.75">
      <c r="A249" s="65" t="s">
        <v>62</v>
      </c>
      <c r="B249" s="249" t="s">
        <v>421</v>
      </c>
      <c r="C249" s="250" t="s">
        <v>309</v>
      </c>
      <c r="D249" s="65" t="s">
        <v>11</v>
      </c>
      <c r="E249" s="65" t="s">
        <v>307</v>
      </c>
      <c r="F249" s="65" t="s">
        <v>307</v>
      </c>
      <c r="G249" s="65" t="s">
        <v>310</v>
      </c>
      <c r="H249" s="65"/>
      <c r="I249" s="65"/>
      <c r="J249" s="65"/>
      <c r="K249" s="65"/>
      <c r="L249" s="65" t="s">
        <v>116</v>
      </c>
      <c r="M249" s="65" t="s">
        <v>117</v>
      </c>
      <c r="N249" s="65" t="s">
        <v>118</v>
      </c>
      <c r="O249" s="249" t="s">
        <v>311</v>
      </c>
      <c r="P249" s="154">
        <v>513000000</v>
      </c>
      <c r="Q249" s="154">
        <v>0</v>
      </c>
      <c r="R249" s="154">
        <v>0</v>
      </c>
      <c r="S249" s="154">
        <v>513000000</v>
      </c>
      <c r="T249" s="154">
        <v>0</v>
      </c>
      <c r="U249" s="154">
        <v>156427339</v>
      </c>
      <c r="V249" s="154">
        <v>356572661</v>
      </c>
      <c r="W249" s="154">
        <v>156427339</v>
      </c>
      <c r="X249" s="154">
        <v>156427339</v>
      </c>
      <c r="Y249" s="154">
        <v>156427339</v>
      </c>
      <c r="Z249" s="154">
        <v>156427339</v>
      </c>
    </row>
    <row r="250" spans="1:26" s="141" customFormat="1" ht="33.75">
      <c r="A250" s="65" t="s">
        <v>62</v>
      </c>
      <c r="B250" s="249" t="s">
        <v>421</v>
      </c>
      <c r="C250" s="250" t="s">
        <v>312</v>
      </c>
      <c r="D250" s="65" t="s">
        <v>11</v>
      </c>
      <c r="E250" s="65" t="s">
        <v>307</v>
      </c>
      <c r="F250" s="65" t="s">
        <v>307</v>
      </c>
      <c r="G250" s="65" t="s">
        <v>313</v>
      </c>
      <c r="H250" s="65"/>
      <c r="I250" s="65"/>
      <c r="J250" s="65"/>
      <c r="K250" s="65"/>
      <c r="L250" s="65" t="s">
        <v>116</v>
      </c>
      <c r="M250" s="65" t="s">
        <v>117</v>
      </c>
      <c r="N250" s="65" t="s">
        <v>118</v>
      </c>
      <c r="O250" s="249" t="s">
        <v>314</v>
      </c>
      <c r="P250" s="154">
        <v>231000000</v>
      </c>
      <c r="Q250" s="154">
        <v>0</v>
      </c>
      <c r="R250" s="154">
        <v>0</v>
      </c>
      <c r="S250" s="154">
        <v>231000000</v>
      </c>
      <c r="T250" s="154">
        <v>0</v>
      </c>
      <c r="U250" s="154">
        <v>94202460</v>
      </c>
      <c r="V250" s="154">
        <v>136797540</v>
      </c>
      <c r="W250" s="154">
        <v>94202460</v>
      </c>
      <c r="X250" s="154">
        <v>94202460</v>
      </c>
      <c r="Y250" s="154">
        <v>94202460</v>
      </c>
      <c r="Z250" s="154">
        <v>94202460</v>
      </c>
    </row>
    <row r="251" spans="1:26" s="141" customFormat="1" ht="33.75">
      <c r="A251" s="65" t="s">
        <v>62</v>
      </c>
      <c r="B251" s="249" t="s">
        <v>421</v>
      </c>
      <c r="C251" s="250" t="s">
        <v>432</v>
      </c>
      <c r="D251" s="65" t="s">
        <v>11</v>
      </c>
      <c r="E251" s="65" t="s">
        <v>310</v>
      </c>
      <c r="F251" s="65"/>
      <c r="G251" s="65"/>
      <c r="H251" s="65"/>
      <c r="I251" s="65"/>
      <c r="J251" s="65"/>
      <c r="K251" s="65"/>
      <c r="L251" s="65" t="s">
        <v>116</v>
      </c>
      <c r="M251" s="65" t="s">
        <v>117</v>
      </c>
      <c r="N251" s="65" t="s">
        <v>118</v>
      </c>
      <c r="O251" s="249" t="s">
        <v>433</v>
      </c>
      <c r="P251" s="154">
        <v>69000000</v>
      </c>
      <c r="Q251" s="154">
        <v>0</v>
      </c>
      <c r="R251" s="154">
        <v>0</v>
      </c>
      <c r="S251" s="154">
        <v>69000000</v>
      </c>
      <c r="T251" s="154">
        <v>0</v>
      </c>
      <c r="U251" s="154">
        <v>40560815.039999999</v>
      </c>
      <c r="V251" s="154">
        <v>28439184.960000001</v>
      </c>
      <c r="W251" s="154">
        <v>40560815.039999999</v>
      </c>
      <c r="X251" s="154">
        <v>36991525.039999999</v>
      </c>
      <c r="Y251" s="154">
        <v>36991525.039999999</v>
      </c>
      <c r="Z251" s="154">
        <v>36991525.039999999</v>
      </c>
    </row>
    <row r="252" spans="1:26" s="141" customFormat="1" ht="33.75">
      <c r="A252" s="65" t="s">
        <v>62</v>
      </c>
      <c r="B252" s="249" t="s">
        <v>421</v>
      </c>
      <c r="C252" s="250" t="s">
        <v>298</v>
      </c>
      <c r="D252" s="65" t="s">
        <v>11</v>
      </c>
      <c r="E252" s="65" t="s">
        <v>332</v>
      </c>
      <c r="F252" s="65" t="s">
        <v>307</v>
      </c>
      <c r="G252" s="65"/>
      <c r="H252" s="65"/>
      <c r="I252" s="65"/>
      <c r="J252" s="65"/>
      <c r="K252" s="65"/>
      <c r="L252" s="65" t="s">
        <v>116</v>
      </c>
      <c r="M252" s="65" t="s">
        <v>117</v>
      </c>
      <c r="N252" s="65" t="s">
        <v>118</v>
      </c>
      <c r="O252" s="249" t="s">
        <v>333</v>
      </c>
      <c r="P252" s="154">
        <v>9000000</v>
      </c>
      <c r="Q252" s="154">
        <v>0</v>
      </c>
      <c r="R252" s="154">
        <v>0</v>
      </c>
      <c r="S252" s="154">
        <v>9000000</v>
      </c>
      <c r="T252" s="154">
        <v>0</v>
      </c>
      <c r="U252" s="154">
        <v>9000000</v>
      </c>
      <c r="V252" s="154">
        <v>0</v>
      </c>
      <c r="W252" s="154">
        <v>9000000</v>
      </c>
      <c r="X252" s="154">
        <v>9000000</v>
      </c>
      <c r="Y252" s="154">
        <v>9000000</v>
      </c>
      <c r="Z252" s="154">
        <v>9000000</v>
      </c>
    </row>
    <row r="253" spans="1:26" s="141" customFormat="1" ht="33.75">
      <c r="A253" s="65" t="s">
        <v>62</v>
      </c>
      <c r="B253" s="249" t="s">
        <v>421</v>
      </c>
      <c r="C253" s="250" t="s">
        <v>294</v>
      </c>
      <c r="D253" s="65" t="s">
        <v>11</v>
      </c>
      <c r="E253" s="65" t="s">
        <v>332</v>
      </c>
      <c r="F253" s="65" t="s">
        <v>318</v>
      </c>
      <c r="G253" s="65" t="s">
        <v>307</v>
      </c>
      <c r="H253" s="65"/>
      <c r="I253" s="65"/>
      <c r="J253" s="65"/>
      <c r="K253" s="65"/>
      <c r="L253" s="65" t="s">
        <v>116</v>
      </c>
      <c r="M253" s="65" t="s">
        <v>125</v>
      </c>
      <c r="N253" s="65" t="s">
        <v>126</v>
      </c>
      <c r="O253" s="249" t="s">
        <v>334</v>
      </c>
      <c r="P253" s="154">
        <v>17000000</v>
      </c>
      <c r="Q253" s="154">
        <v>0</v>
      </c>
      <c r="R253" s="154">
        <v>0</v>
      </c>
      <c r="S253" s="154">
        <v>17000000</v>
      </c>
      <c r="T253" s="154">
        <v>0</v>
      </c>
      <c r="U253" s="154">
        <v>0</v>
      </c>
      <c r="V253" s="154">
        <v>17000000</v>
      </c>
      <c r="W253" s="154">
        <v>0</v>
      </c>
      <c r="X253" s="154">
        <v>0</v>
      </c>
      <c r="Y253" s="154">
        <v>0</v>
      </c>
      <c r="Z253" s="154">
        <v>0</v>
      </c>
    </row>
    <row r="254" spans="1:26" s="141" customFormat="1" ht="33.75">
      <c r="A254" s="65" t="s">
        <v>62</v>
      </c>
      <c r="B254" s="249" t="s">
        <v>421</v>
      </c>
      <c r="C254" s="250" t="s">
        <v>436</v>
      </c>
      <c r="D254" s="65" t="s">
        <v>430</v>
      </c>
      <c r="E254" s="65" t="s">
        <v>117</v>
      </c>
      <c r="F254" s="65" t="s">
        <v>318</v>
      </c>
      <c r="G254" s="65" t="s">
        <v>307</v>
      </c>
      <c r="H254" s="65"/>
      <c r="I254" s="65"/>
      <c r="J254" s="65"/>
      <c r="K254" s="65"/>
      <c r="L254" s="65" t="s">
        <v>116</v>
      </c>
      <c r="M254" s="65" t="s">
        <v>125</v>
      </c>
      <c r="N254" s="65" t="s">
        <v>118</v>
      </c>
      <c r="O254" s="249" t="s">
        <v>437</v>
      </c>
      <c r="P254" s="154">
        <v>732565586</v>
      </c>
      <c r="Q254" s="154">
        <v>0</v>
      </c>
      <c r="R254" s="154">
        <v>0</v>
      </c>
      <c r="S254" s="154">
        <v>732565586</v>
      </c>
      <c r="T254" s="154">
        <v>0</v>
      </c>
      <c r="U254" s="154">
        <v>0</v>
      </c>
      <c r="V254" s="154">
        <v>732565586</v>
      </c>
      <c r="W254" s="154">
        <v>0</v>
      </c>
      <c r="X254" s="154">
        <v>0</v>
      </c>
      <c r="Y254" s="154">
        <v>0</v>
      </c>
      <c r="Z254" s="154">
        <v>0</v>
      </c>
    </row>
    <row r="255" spans="1:26" s="141" customFormat="1" ht="33.75">
      <c r="A255" s="65" t="s">
        <v>66</v>
      </c>
      <c r="B255" s="249" t="s">
        <v>422</v>
      </c>
      <c r="C255" s="250" t="s">
        <v>306</v>
      </c>
      <c r="D255" s="65" t="s">
        <v>11</v>
      </c>
      <c r="E255" s="65" t="s">
        <v>307</v>
      </c>
      <c r="F255" s="65" t="s">
        <v>307</v>
      </c>
      <c r="G255" s="65" t="s">
        <v>307</v>
      </c>
      <c r="H255" s="65"/>
      <c r="I255" s="65"/>
      <c r="J255" s="65"/>
      <c r="K255" s="65"/>
      <c r="L255" s="65" t="s">
        <v>116</v>
      </c>
      <c r="M255" s="65" t="s">
        <v>117</v>
      </c>
      <c r="N255" s="65" t="s">
        <v>118</v>
      </c>
      <c r="O255" s="249" t="s">
        <v>308</v>
      </c>
      <c r="P255" s="154">
        <v>1547000000</v>
      </c>
      <c r="Q255" s="154">
        <v>0</v>
      </c>
      <c r="R255" s="154">
        <v>0</v>
      </c>
      <c r="S255" s="154">
        <v>1547000000</v>
      </c>
      <c r="T255" s="154">
        <v>0</v>
      </c>
      <c r="U255" s="154">
        <v>339311639</v>
      </c>
      <c r="V255" s="154">
        <v>1207688361</v>
      </c>
      <c r="W255" s="154">
        <v>339311639</v>
      </c>
      <c r="X255" s="154">
        <v>339311639</v>
      </c>
      <c r="Y255" s="154">
        <v>339311639</v>
      </c>
      <c r="Z255" s="154">
        <v>339311639</v>
      </c>
    </row>
    <row r="256" spans="1:26" s="141" customFormat="1" ht="33.75">
      <c r="A256" s="65" t="s">
        <v>66</v>
      </c>
      <c r="B256" s="249" t="s">
        <v>422</v>
      </c>
      <c r="C256" s="250" t="s">
        <v>309</v>
      </c>
      <c r="D256" s="65" t="s">
        <v>11</v>
      </c>
      <c r="E256" s="65" t="s">
        <v>307</v>
      </c>
      <c r="F256" s="65" t="s">
        <v>307</v>
      </c>
      <c r="G256" s="65" t="s">
        <v>310</v>
      </c>
      <c r="H256" s="65"/>
      <c r="I256" s="65"/>
      <c r="J256" s="65"/>
      <c r="K256" s="65"/>
      <c r="L256" s="65" t="s">
        <v>116</v>
      </c>
      <c r="M256" s="65" t="s">
        <v>117</v>
      </c>
      <c r="N256" s="65" t="s">
        <v>118</v>
      </c>
      <c r="O256" s="249" t="s">
        <v>311</v>
      </c>
      <c r="P256" s="154">
        <v>516000000</v>
      </c>
      <c r="Q256" s="154">
        <v>0</v>
      </c>
      <c r="R256" s="154">
        <v>0</v>
      </c>
      <c r="S256" s="154">
        <v>516000000</v>
      </c>
      <c r="T256" s="154">
        <v>0</v>
      </c>
      <c r="U256" s="154">
        <v>141376007</v>
      </c>
      <c r="V256" s="154">
        <v>374623993</v>
      </c>
      <c r="W256" s="154">
        <v>141376007</v>
      </c>
      <c r="X256" s="154">
        <v>141376007</v>
      </c>
      <c r="Y256" s="154">
        <v>141376007</v>
      </c>
      <c r="Z256" s="154">
        <v>141376007</v>
      </c>
    </row>
    <row r="257" spans="1:26" s="141" customFormat="1" ht="33.75">
      <c r="A257" s="65" t="s">
        <v>66</v>
      </c>
      <c r="B257" s="249" t="s">
        <v>422</v>
      </c>
      <c r="C257" s="250" t="s">
        <v>312</v>
      </c>
      <c r="D257" s="65" t="s">
        <v>11</v>
      </c>
      <c r="E257" s="65" t="s">
        <v>307</v>
      </c>
      <c r="F257" s="65" t="s">
        <v>307</v>
      </c>
      <c r="G257" s="65" t="s">
        <v>313</v>
      </c>
      <c r="H257" s="65"/>
      <c r="I257" s="65"/>
      <c r="J257" s="65"/>
      <c r="K257" s="65"/>
      <c r="L257" s="65" t="s">
        <v>116</v>
      </c>
      <c r="M257" s="65" t="s">
        <v>117</v>
      </c>
      <c r="N257" s="65" t="s">
        <v>118</v>
      </c>
      <c r="O257" s="249" t="s">
        <v>314</v>
      </c>
      <c r="P257" s="154">
        <v>206000000</v>
      </c>
      <c r="Q257" s="154">
        <v>0</v>
      </c>
      <c r="R257" s="154">
        <v>0</v>
      </c>
      <c r="S257" s="154">
        <v>206000000</v>
      </c>
      <c r="T257" s="154">
        <v>0</v>
      </c>
      <c r="U257" s="154">
        <v>66787557</v>
      </c>
      <c r="V257" s="154">
        <v>139212443</v>
      </c>
      <c r="W257" s="154">
        <v>66787557</v>
      </c>
      <c r="X257" s="154">
        <v>66787557</v>
      </c>
      <c r="Y257" s="154">
        <v>66787557</v>
      </c>
      <c r="Z257" s="154">
        <v>66787557</v>
      </c>
    </row>
    <row r="258" spans="1:26" s="141" customFormat="1" ht="33.75">
      <c r="A258" s="65" t="s">
        <v>66</v>
      </c>
      <c r="B258" s="249" t="s">
        <v>422</v>
      </c>
      <c r="C258" s="250" t="s">
        <v>432</v>
      </c>
      <c r="D258" s="65" t="s">
        <v>11</v>
      </c>
      <c r="E258" s="65" t="s">
        <v>310</v>
      </c>
      <c r="F258" s="65"/>
      <c r="G258" s="65"/>
      <c r="H258" s="65"/>
      <c r="I258" s="65"/>
      <c r="J258" s="65"/>
      <c r="K258" s="65"/>
      <c r="L258" s="65" t="s">
        <v>116</v>
      </c>
      <c r="M258" s="65" t="s">
        <v>117</v>
      </c>
      <c r="N258" s="65" t="s">
        <v>118</v>
      </c>
      <c r="O258" s="249" t="s">
        <v>433</v>
      </c>
      <c r="P258" s="154">
        <v>131000000</v>
      </c>
      <c r="Q258" s="154">
        <v>0</v>
      </c>
      <c r="R258" s="154">
        <v>0</v>
      </c>
      <c r="S258" s="154">
        <v>131000000</v>
      </c>
      <c r="T258" s="154">
        <v>0</v>
      </c>
      <c r="U258" s="154">
        <v>0</v>
      </c>
      <c r="V258" s="154">
        <v>131000000</v>
      </c>
      <c r="W258" s="154">
        <v>0</v>
      </c>
      <c r="X258" s="154">
        <v>0</v>
      </c>
      <c r="Y258" s="154">
        <v>0</v>
      </c>
      <c r="Z258" s="154">
        <v>0</v>
      </c>
    </row>
    <row r="259" spans="1:26" s="141" customFormat="1" ht="33.75">
      <c r="A259" s="65" t="s">
        <v>66</v>
      </c>
      <c r="B259" s="249" t="s">
        <v>422</v>
      </c>
      <c r="C259" s="250" t="s">
        <v>294</v>
      </c>
      <c r="D259" s="65" t="s">
        <v>11</v>
      </c>
      <c r="E259" s="65" t="s">
        <v>332</v>
      </c>
      <c r="F259" s="65" t="s">
        <v>318</v>
      </c>
      <c r="G259" s="65" t="s">
        <v>307</v>
      </c>
      <c r="H259" s="65"/>
      <c r="I259" s="65"/>
      <c r="J259" s="65"/>
      <c r="K259" s="65"/>
      <c r="L259" s="65" t="s">
        <v>116</v>
      </c>
      <c r="M259" s="65" t="s">
        <v>125</v>
      </c>
      <c r="N259" s="65" t="s">
        <v>126</v>
      </c>
      <c r="O259" s="249" t="s">
        <v>334</v>
      </c>
      <c r="P259" s="154">
        <v>17000000</v>
      </c>
      <c r="Q259" s="154">
        <v>0</v>
      </c>
      <c r="R259" s="154">
        <v>0</v>
      </c>
      <c r="S259" s="154">
        <v>17000000</v>
      </c>
      <c r="T259" s="154">
        <v>0</v>
      </c>
      <c r="U259" s="154">
        <v>0</v>
      </c>
      <c r="V259" s="154">
        <v>17000000</v>
      </c>
      <c r="W259" s="154">
        <v>0</v>
      </c>
      <c r="X259" s="154">
        <v>0</v>
      </c>
      <c r="Y259" s="154">
        <v>0</v>
      </c>
      <c r="Z259" s="154">
        <v>0</v>
      </c>
    </row>
    <row r="260" spans="1:26" s="141" customFormat="1" ht="33.75">
      <c r="A260" s="65" t="s">
        <v>68</v>
      </c>
      <c r="B260" s="249" t="s">
        <v>423</v>
      </c>
      <c r="C260" s="250" t="s">
        <v>306</v>
      </c>
      <c r="D260" s="65" t="s">
        <v>11</v>
      </c>
      <c r="E260" s="65" t="s">
        <v>307</v>
      </c>
      <c r="F260" s="65" t="s">
        <v>307</v>
      </c>
      <c r="G260" s="65" t="s">
        <v>307</v>
      </c>
      <c r="H260" s="65"/>
      <c r="I260" s="65"/>
      <c r="J260" s="65"/>
      <c r="K260" s="65"/>
      <c r="L260" s="65" t="s">
        <v>116</v>
      </c>
      <c r="M260" s="65" t="s">
        <v>117</v>
      </c>
      <c r="N260" s="65" t="s">
        <v>118</v>
      </c>
      <c r="O260" s="249" t="s">
        <v>308</v>
      </c>
      <c r="P260" s="154">
        <v>540800000</v>
      </c>
      <c r="Q260" s="154">
        <v>0</v>
      </c>
      <c r="R260" s="154">
        <v>0</v>
      </c>
      <c r="S260" s="154">
        <v>540800000</v>
      </c>
      <c r="T260" s="154">
        <v>0</v>
      </c>
      <c r="U260" s="154">
        <v>454102000</v>
      </c>
      <c r="V260" s="154">
        <v>86698000</v>
      </c>
      <c r="W260" s="154">
        <v>100000000</v>
      </c>
      <c r="X260" s="154">
        <v>100000000</v>
      </c>
      <c r="Y260" s="154">
        <v>100000000</v>
      </c>
      <c r="Z260" s="154">
        <v>100000000</v>
      </c>
    </row>
    <row r="261" spans="1:26" s="141" customFormat="1" ht="33.75">
      <c r="A261" s="65" t="s">
        <v>68</v>
      </c>
      <c r="B261" s="249" t="s">
        <v>423</v>
      </c>
      <c r="C261" s="250" t="s">
        <v>432</v>
      </c>
      <c r="D261" s="65" t="s">
        <v>11</v>
      </c>
      <c r="E261" s="65" t="s">
        <v>310</v>
      </c>
      <c r="F261" s="65"/>
      <c r="G261" s="65"/>
      <c r="H261" s="65"/>
      <c r="I261" s="65"/>
      <c r="J261" s="65"/>
      <c r="K261" s="65"/>
      <c r="L261" s="65" t="s">
        <v>116</v>
      </c>
      <c r="M261" s="65" t="s">
        <v>117</v>
      </c>
      <c r="N261" s="65" t="s">
        <v>118</v>
      </c>
      <c r="O261" s="249" t="s">
        <v>433</v>
      </c>
      <c r="P261" s="154">
        <v>299775000</v>
      </c>
      <c r="Q261" s="154">
        <v>0</v>
      </c>
      <c r="R261" s="154">
        <v>0</v>
      </c>
      <c r="S261" s="154">
        <v>299775000</v>
      </c>
      <c r="T261" s="154">
        <v>0</v>
      </c>
      <c r="U261" s="154">
        <v>64669478</v>
      </c>
      <c r="V261" s="154">
        <v>235105522</v>
      </c>
      <c r="W261" s="154">
        <v>3942155</v>
      </c>
      <c r="X261" s="154">
        <v>0</v>
      </c>
      <c r="Y261" s="154">
        <v>0</v>
      </c>
      <c r="Z261" s="154">
        <v>0</v>
      </c>
    </row>
    <row r="262" spans="1:26" s="141" customFormat="1" ht="33.75">
      <c r="A262" s="65" t="s">
        <v>80</v>
      </c>
      <c r="B262" s="249" t="s">
        <v>424</v>
      </c>
      <c r="C262" s="250" t="s">
        <v>306</v>
      </c>
      <c r="D262" s="65" t="s">
        <v>11</v>
      </c>
      <c r="E262" s="65" t="s">
        <v>307</v>
      </c>
      <c r="F262" s="65" t="s">
        <v>307</v>
      </c>
      <c r="G262" s="65" t="s">
        <v>307</v>
      </c>
      <c r="H262" s="65"/>
      <c r="I262" s="65"/>
      <c r="J262" s="65"/>
      <c r="K262" s="65"/>
      <c r="L262" s="65" t="s">
        <v>116</v>
      </c>
      <c r="M262" s="65" t="s">
        <v>117</v>
      </c>
      <c r="N262" s="65" t="s">
        <v>118</v>
      </c>
      <c r="O262" s="249" t="s">
        <v>308</v>
      </c>
      <c r="P262" s="154">
        <v>1906900000</v>
      </c>
      <c r="Q262" s="154">
        <v>0</v>
      </c>
      <c r="R262" s="154">
        <v>0</v>
      </c>
      <c r="S262" s="154">
        <v>1906900000</v>
      </c>
      <c r="T262" s="154">
        <v>0</v>
      </c>
      <c r="U262" s="154">
        <v>0</v>
      </c>
      <c r="V262" s="154">
        <v>1906900000</v>
      </c>
      <c r="W262" s="154">
        <v>0</v>
      </c>
      <c r="X262" s="154">
        <v>0</v>
      </c>
      <c r="Y262" s="154">
        <v>0</v>
      </c>
      <c r="Z262" s="154">
        <v>0</v>
      </c>
    </row>
    <row r="263" spans="1:26" s="141" customFormat="1" ht="33.75">
      <c r="A263" s="65" t="s">
        <v>80</v>
      </c>
      <c r="B263" s="249" t="s">
        <v>424</v>
      </c>
      <c r="C263" s="250" t="s">
        <v>309</v>
      </c>
      <c r="D263" s="65" t="s">
        <v>11</v>
      </c>
      <c r="E263" s="65" t="s">
        <v>307</v>
      </c>
      <c r="F263" s="65" t="s">
        <v>307</v>
      </c>
      <c r="G263" s="65" t="s">
        <v>310</v>
      </c>
      <c r="H263" s="65"/>
      <c r="I263" s="65"/>
      <c r="J263" s="65"/>
      <c r="K263" s="65"/>
      <c r="L263" s="65" t="s">
        <v>116</v>
      </c>
      <c r="M263" s="65" t="s">
        <v>117</v>
      </c>
      <c r="N263" s="65" t="s">
        <v>118</v>
      </c>
      <c r="O263" s="249" t="s">
        <v>311</v>
      </c>
      <c r="P263" s="154">
        <v>538100000</v>
      </c>
      <c r="Q263" s="154">
        <v>0</v>
      </c>
      <c r="R263" s="154">
        <v>0</v>
      </c>
      <c r="S263" s="154">
        <v>538100000</v>
      </c>
      <c r="T263" s="154">
        <v>0</v>
      </c>
      <c r="U263" s="154">
        <v>0</v>
      </c>
      <c r="V263" s="154">
        <v>538100000</v>
      </c>
      <c r="W263" s="154">
        <v>0</v>
      </c>
      <c r="X263" s="154">
        <v>0</v>
      </c>
      <c r="Y263" s="154">
        <v>0</v>
      </c>
      <c r="Z263" s="154">
        <v>0</v>
      </c>
    </row>
    <row r="264" spans="1:26" s="141" customFormat="1" ht="33.75">
      <c r="A264" s="65" t="s">
        <v>80</v>
      </c>
      <c r="B264" s="249" t="s">
        <v>424</v>
      </c>
      <c r="C264" s="250" t="s">
        <v>312</v>
      </c>
      <c r="D264" s="65" t="s">
        <v>11</v>
      </c>
      <c r="E264" s="65" t="s">
        <v>307</v>
      </c>
      <c r="F264" s="65" t="s">
        <v>307</v>
      </c>
      <c r="G264" s="65" t="s">
        <v>313</v>
      </c>
      <c r="H264" s="65"/>
      <c r="I264" s="65"/>
      <c r="J264" s="65"/>
      <c r="K264" s="65"/>
      <c r="L264" s="65" t="s">
        <v>116</v>
      </c>
      <c r="M264" s="65" t="s">
        <v>117</v>
      </c>
      <c r="N264" s="65" t="s">
        <v>118</v>
      </c>
      <c r="O264" s="249" t="s">
        <v>314</v>
      </c>
      <c r="P264" s="154">
        <v>161900000</v>
      </c>
      <c r="Q264" s="154">
        <v>0</v>
      </c>
      <c r="R264" s="154">
        <v>0</v>
      </c>
      <c r="S264" s="154">
        <v>161900000</v>
      </c>
      <c r="T264" s="154">
        <v>0</v>
      </c>
      <c r="U264" s="154">
        <v>0</v>
      </c>
      <c r="V264" s="154">
        <v>161900000</v>
      </c>
      <c r="W264" s="154">
        <v>0</v>
      </c>
      <c r="X264" s="154">
        <v>0</v>
      </c>
      <c r="Y264" s="154">
        <v>0</v>
      </c>
      <c r="Z264" s="154">
        <v>0</v>
      </c>
    </row>
    <row r="265" spans="1:26" s="141" customFormat="1" ht="33.75">
      <c r="A265" s="65" t="s">
        <v>80</v>
      </c>
      <c r="B265" s="249" t="s">
        <v>424</v>
      </c>
      <c r="C265" s="250" t="s">
        <v>432</v>
      </c>
      <c r="D265" s="65" t="s">
        <v>11</v>
      </c>
      <c r="E265" s="65" t="s">
        <v>310</v>
      </c>
      <c r="F265" s="65"/>
      <c r="G265" s="65"/>
      <c r="H265" s="65"/>
      <c r="I265" s="65"/>
      <c r="J265" s="65"/>
      <c r="K265" s="65"/>
      <c r="L265" s="65" t="s">
        <v>116</v>
      </c>
      <c r="M265" s="65" t="s">
        <v>117</v>
      </c>
      <c r="N265" s="65" t="s">
        <v>118</v>
      </c>
      <c r="O265" s="249" t="s">
        <v>433</v>
      </c>
      <c r="P265" s="154">
        <v>51849600</v>
      </c>
      <c r="Q265" s="154">
        <v>0</v>
      </c>
      <c r="R265" s="154">
        <v>0</v>
      </c>
      <c r="S265" s="154">
        <v>51849600</v>
      </c>
      <c r="T265" s="154">
        <v>0</v>
      </c>
      <c r="U265" s="154">
        <v>51849600</v>
      </c>
      <c r="V265" s="154">
        <v>0</v>
      </c>
      <c r="W265" s="154">
        <v>51849600</v>
      </c>
      <c r="X265" s="154">
        <v>0</v>
      </c>
      <c r="Y265" s="154">
        <v>0</v>
      </c>
      <c r="Z265" s="154">
        <v>0</v>
      </c>
    </row>
    <row r="266" spans="1:26" s="141" customFormat="1" ht="45">
      <c r="A266" s="65" t="s">
        <v>80</v>
      </c>
      <c r="B266" s="249" t="s">
        <v>424</v>
      </c>
      <c r="C266" s="250" t="s">
        <v>330</v>
      </c>
      <c r="D266" s="65" t="s">
        <v>11</v>
      </c>
      <c r="E266" s="65" t="s">
        <v>313</v>
      </c>
      <c r="F266" s="65" t="s">
        <v>318</v>
      </c>
      <c r="G266" s="65" t="s">
        <v>310</v>
      </c>
      <c r="H266" s="65" t="s">
        <v>331</v>
      </c>
      <c r="I266" s="65"/>
      <c r="J266" s="65"/>
      <c r="K266" s="65"/>
      <c r="L266" s="65" t="s">
        <v>116</v>
      </c>
      <c r="M266" s="65" t="s">
        <v>117</v>
      </c>
      <c r="N266" s="65" t="s">
        <v>118</v>
      </c>
      <c r="O266" s="249" t="s">
        <v>352</v>
      </c>
      <c r="P266" s="154">
        <v>4665500</v>
      </c>
      <c r="Q266" s="154">
        <v>0</v>
      </c>
      <c r="R266" s="154">
        <v>0</v>
      </c>
      <c r="S266" s="154">
        <v>4665500</v>
      </c>
      <c r="T266" s="154">
        <v>0</v>
      </c>
      <c r="U266" s="154">
        <v>0</v>
      </c>
      <c r="V266" s="154">
        <v>4665500</v>
      </c>
      <c r="W266" s="154">
        <v>0</v>
      </c>
      <c r="X266" s="154">
        <v>0</v>
      </c>
      <c r="Y266" s="154">
        <v>0</v>
      </c>
      <c r="Z266" s="154">
        <v>0</v>
      </c>
    </row>
    <row r="267" spans="1:26" s="141" customFormat="1" ht="33.75">
      <c r="A267" s="65" t="s">
        <v>80</v>
      </c>
      <c r="B267" s="249" t="s">
        <v>424</v>
      </c>
      <c r="C267" s="250" t="s">
        <v>298</v>
      </c>
      <c r="D267" s="65" t="s">
        <v>11</v>
      </c>
      <c r="E267" s="65" t="s">
        <v>332</v>
      </c>
      <c r="F267" s="65" t="s">
        <v>307</v>
      </c>
      <c r="G267" s="65"/>
      <c r="H267" s="65"/>
      <c r="I267" s="65"/>
      <c r="J267" s="65"/>
      <c r="K267" s="65"/>
      <c r="L267" s="65" t="s">
        <v>116</v>
      </c>
      <c r="M267" s="65" t="s">
        <v>117</v>
      </c>
      <c r="N267" s="65" t="s">
        <v>118</v>
      </c>
      <c r="O267" s="249" t="s">
        <v>333</v>
      </c>
      <c r="P267" s="154">
        <v>1689600</v>
      </c>
      <c r="Q267" s="154">
        <v>0</v>
      </c>
      <c r="R267" s="154">
        <v>0</v>
      </c>
      <c r="S267" s="154">
        <v>1689600</v>
      </c>
      <c r="T267" s="154">
        <v>0</v>
      </c>
      <c r="U267" s="154">
        <v>1689600</v>
      </c>
      <c r="V267" s="154">
        <v>0</v>
      </c>
      <c r="W267" s="154">
        <v>1689600</v>
      </c>
      <c r="X267" s="154">
        <v>1689000</v>
      </c>
      <c r="Y267" s="154">
        <v>0</v>
      </c>
      <c r="Z267" s="154">
        <v>0</v>
      </c>
    </row>
    <row r="268" spans="1:26" s="141" customFormat="1" ht="33.75">
      <c r="A268" s="65" t="s">
        <v>80</v>
      </c>
      <c r="B268" s="249" t="s">
        <v>424</v>
      </c>
      <c r="C268" s="250" t="s">
        <v>294</v>
      </c>
      <c r="D268" s="65" t="s">
        <v>11</v>
      </c>
      <c r="E268" s="65" t="s">
        <v>332</v>
      </c>
      <c r="F268" s="65" t="s">
        <v>318</v>
      </c>
      <c r="G268" s="65" t="s">
        <v>307</v>
      </c>
      <c r="H268" s="65"/>
      <c r="I268" s="65"/>
      <c r="J268" s="65"/>
      <c r="K268" s="65"/>
      <c r="L268" s="65" t="s">
        <v>116</v>
      </c>
      <c r="M268" s="65" t="s">
        <v>125</v>
      </c>
      <c r="N268" s="65" t="s">
        <v>126</v>
      </c>
      <c r="O268" s="249" t="s">
        <v>334</v>
      </c>
      <c r="P268" s="154">
        <v>19324800</v>
      </c>
      <c r="Q268" s="154">
        <v>0</v>
      </c>
      <c r="R268" s="154">
        <v>0</v>
      </c>
      <c r="S268" s="154">
        <v>19324800</v>
      </c>
      <c r="T268" s="154">
        <v>0</v>
      </c>
      <c r="U268" s="154">
        <v>0</v>
      </c>
      <c r="V268" s="154">
        <v>19324800</v>
      </c>
      <c r="W268" s="154">
        <v>0</v>
      </c>
      <c r="X268" s="154">
        <v>0</v>
      </c>
      <c r="Y268" s="154">
        <v>0</v>
      </c>
      <c r="Z268" s="154">
        <v>0</v>
      </c>
    </row>
    <row r="269" spans="1:26" s="141" customFormat="1" ht="33.75">
      <c r="A269" s="65" t="s">
        <v>80</v>
      </c>
      <c r="B269" s="249" t="s">
        <v>424</v>
      </c>
      <c r="C269" s="250" t="s">
        <v>436</v>
      </c>
      <c r="D269" s="65" t="s">
        <v>430</v>
      </c>
      <c r="E269" s="65" t="s">
        <v>117</v>
      </c>
      <c r="F269" s="65" t="s">
        <v>318</v>
      </c>
      <c r="G269" s="65" t="s">
        <v>307</v>
      </c>
      <c r="H269" s="65"/>
      <c r="I269" s="65"/>
      <c r="J269" s="65"/>
      <c r="K269" s="65"/>
      <c r="L269" s="65" t="s">
        <v>116</v>
      </c>
      <c r="M269" s="65" t="s">
        <v>125</v>
      </c>
      <c r="N269" s="65" t="s">
        <v>118</v>
      </c>
      <c r="O269" s="249" t="s">
        <v>437</v>
      </c>
      <c r="P269" s="154">
        <v>506088289</v>
      </c>
      <c r="Q269" s="154">
        <v>0</v>
      </c>
      <c r="R269" s="154">
        <v>0</v>
      </c>
      <c r="S269" s="154">
        <v>506088289</v>
      </c>
      <c r="T269" s="154">
        <v>0</v>
      </c>
      <c r="U269" s="154">
        <v>0</v>
      </c>
      <c r="V269" s="154">
        <v>506088289</v>
      </c>
      <c r="W269" s="154">
        <v>0</v>
      </c>
      <c r="X269" s="154">
        <v>0</v>
      </c>
      <c r="Y269" s="154">
        <v>0</v>
      </c>
      <c r="Z269" s="154">
        <v>0</v>
      </c>
    </row>
    <row r="270" spans="1:26" s="141" customFormat="1" ht="33.75">
      <c r="A270" s="65" t="s">
        <v>77</v>
      </c>
      <c r="B270" s="249" t="s">
        <v>425</v>
      </c>
      <c r="C270" s="250" t="s">
        <v>306</v>
      </c>
      <c r="D270" s="65" t="s">
        <v>11</v>
      </c>
      <c r="E270" s="65" t="s">
        <v>307</v>
      </c>
      <c r="F270" s="65" t="s">
        <v>307</v>
      </c>
      <c r="G270" s="65" t="s">
        <v>307</v>
      </c>
      <c r="H270" s="65"/>
      <c r="I270" s="65"/>
      <c r="J270" s="65"/>
      <c r="K270" s="65"/>
      <c r="L270" s="65" t="s">
        <v>116</v>
      </c>
      <c r="M270" s="65" t="s">
        <v>117</v>
      </c>
      <c r="N270" s="65" t="s">
        <v>118</v>
      </c>
      <c r="O270" s="249" t="s">
        <v>308</v>
      </c>
      <c r="P270" s="154">
        <v>1919000000</v>
      </c>
      <c r="Q270" s="154">
        <v>0</v>
      </c>
      <c r="R270" s="154">
        <v>0</v>
      </c>
      <c r="S270" s="154">
        <v>1919000000</v>
      </c>
      <c r="T270" s="154">
        <v>0</v>
      </c>
      <c r="U270" s="154">
        <v>399983225</v>
      </c>
      <c r="V270" s="154">
        <v>1519016775</v>
      </c>
      <c r="W270" s="154">
        <v>383519039</v>
      </c>
      <c r="X270" s="154">
        <v>378146342</v>
      </c>
      <c r="Y270" s="154">
        <v>378146342</v>
      </c>
      <c r="Z270" s="154">
        <v>378146342</v>
      </c>
    </row>
    <row r="271" spans="1:26" s="141" customFormat="1" ht="33.75">
      <c r="A271" s="65" t="s">
        <v>77</v>
      </c>
      <c r="B271" s="249" t="s">
        <v>425</v>
      </c>
      <c r="C271" s="250" t="s">
        <v>309</v>
      </c>
      <c r="D271" s="65" t="s">
        <v>11</v>
      </c>
      <c r="E271" s="65" t="s">
        <v>307</v>
      </c>
      <c r="F271" s="65" t="s">
        <v>307</v>
      </c>
      <c r="G271" s="65" t="s">
        <v>310</v>
      </c>
      <c r="H271" s="65"/>
      <c r="I271" s="65"/>
      <c r="J271" s="65"/>
      <c r="K271" s="65"/>
      <c r="L271" s="65" t="s">
        <v>116</v>
      </c>
      <c r="M271" s="65" t="s">
        <v>117</v>
      </c>
      <c r="N271" s="65" t="s">
        <v>118</v>
      </c>
      <c r="O271" s="249" t="s">
        <v>311</v>
      </c>
      <c r="P271" s="154">
        <v>597000000</v>
      </c>
      <c r="Q271" s="154">
        <v>0</v>
      </c>
      <c r="R271" s="154">
        <v>0</v>
      </c>
      <c r="S271" s="154">
        <v>597000000</v>
      </c>
      <c r="T271" s="154">
        <v>0</v>
      </c>
      <c r="U271" s="154">
        <v>165687684</v>
      </c>
      <c r="V271" s="154">
        <v>431312316</v>
      </c>
      <c r="W271" s="154">
        <v>165687684</v>
      </c>
      <c r="X271" s="154">
        <v>152706008</v>
      </c>
      <c r="Y271" s="154">
        <v>152706008</v>
      </c>
      <c r="Z271" s="154">
        <v>152706008</v>
      </c>
    </row>
    <row r="272" spans="1:26" s="141" customFormat="1" ht="33.75">
      <c r="A272" s="65" t="s">
        <v>77</v>
      </c>
      <c r="B272" s="249" t="s">
        <v>425</v>
      </c>
      <c r="C272" s="250" t="s">
        <v>312</v>
      </c>
      <c r="D272" s="65" t="s">
        <v>11</v>
      </c>
      <c r="E272" s="65" t="s">
        <v>307</v>
      </c>
      <c r="F272" s="65" t="s">
        <v>307</v>
      </c>
      <c r="G272" s="65" t="s">
        <v>313</v>
      </c>
      <c r="H272" s="65"/>
      <c r="I272" s="65"/>
      <c r="J272" s="65"/>
      <c r="K272" s="65"/>
      <c r="L272" s="65" t="s">
        <v>116</v>
      </c>
      <c r="M272" s="65" t="s">
        <v>117</v>
      </c>
      <c r="N272" s="65" t="s">
        <v>118</v>
      </c>
      <c r="O272" s="249" t="s">
        <v>314</v>
      </c>
      <c r="P272" s="154">
        <v>339000000</v>
      </c>
      <c r="Q272" s="154">
        <v>0</v>
      </c>
      <c r="R272" s="154">
        <v>0</v>
      </c>
      <c r="S272" s="154">
        <v>339000000</v>
      </c>
      <c r="T272" s="154">
        <v>0</v>
      </c>
      <c r="U272" s="154">
        <v>61945238</v>
      </c>
      <c r="V272" s="154">
        <v>277054762</v>
      </c>
      <c r="W272" s="154">
        <v>61945238</v>
      </c>
      <c r="X272" s="154">
        <v>60297479</v>
      </c>
      <c r="Y272" s="154">
        <v>60297479</v>
      </c>
      <c r="Z272" s="154">
        <v>60297479</v>
      </c>
    </row>
    <row r="273" spans="1:26" s="141" customFormat="1" ht="33.75">
      <c r="A273" s="65" t="s">
        <v>77</v>
      </c>
      <c r="B273" s="249" t="s">
        <v>425</v>
      </c>
      <c r="C273" s="250" t="s">
        <v>432</v>
      </c>
      <c r="D273" s="65" t="s">
        <v>11</v>
      </c>
      <c r="E273" s="65" t="s">
        <v>310</v>
      </c>
      <c r="F273" s="65"/>
      <c r="G273" s="65"/>
      <c r="H273" s="65"/>
      <c r="I273" s="65"/>
      <c r="J273" s="65"/>
      <c r="K273" s="65"/>
      <c r="L273" s="65" t="s">
        <v>116</v>
      </c>
      <c r="M273" s="65" t="s">
        <v>117</v>
      </c>
      <c r="N273" s="65" t="s">
        <v>118</v>
      </c>
      <c r="O273" s="249" t="s">
        <v>433</v>
      </c>
      <c r="P273" s="154">
        <v>58000000</v>
      </c>
      <c r="Q273" s="154">
        <v>0</v>
      </c>
      <c r="R273" s="154">
        <v>0</v>
      </c>
      <c r="S273" s="154">
        <v>58000000</v>
      </c>
      <c r="T273" s="154">
        <v>0</v>
      </c>
      <c r="U273" s="154">
        <v>4362810</v>
      </c>
      <c r="V273" s="154">
        <v>53637190</v>
      </c>
      <c r="W273" s="154">
        <v>4362810</v>
      </c>
      <c r="X273" s="154">
        <v>4362810</v>
      </c>
      <c r="Y273" s="154">
        <v>4362810</v>
      </c>
      <c r="Z273" s="154">
        <v>4362810</v>
      </c>
    </row>
    <row r="274" spans="1:26" s="141" customFormat="1" ht="33.75">
      <c r="A274" s="65" t="s">
        <v>77</v>
      </c>
      <c r="B274" s="249" t="s">
        <v>425</v>
      </c>
      <c r="C274" s="250" t="s">
        <v>294</v>
      </c>
      <c r="D274" s="65" t="s">
        <v>11</v>
      </c>
      <c r="E274" s="65" t="s">
        <v>332</v>
      </c>
      <c r="F274" s="65" t="s">
        <v>318</v>
      </c>
      <c r="G274" s="65" t="s">
        <v>307</v>
      </c>
      <c r="H274" s="65"/>
      <c r="I274" s="65"/>
      <c r="J274" s="65"/>
      <c r="K274" s="65"/>
      <c r="L274" s="65" t="s">
        <v>116</v>
      </c>
      <c r="M274" s="65" t="s">
        <v>125</v>
      </c>
      <c r="N274" s="65" t="s">
        <v>126</v>
      </c>
      <c r="O274" s="249" t="s">
        <v>334</v>
      </c>
      <c r="P274" s="154">
        <v>8000000</v>
      </c>
      <c r="Q274" s="154">
        <v>0</v>
      </c>
      <c r="R274" s="154">
        <v>0</v>
      </c>
      <c r="S274" s="154">
        <v>8000000</v>
      </c>
      <c r="T274" s="154">
        <v>0</v>
      </c>
      <c r="U274" s="154">
        <v>0</v>
      </c>
      <c r="V274" s="154">
        <v>8000000</v>
      </c>
      <c r="W274" s="154">
        <v>0</v>
      </c>
      <c r="X274" s="154">
        <v>0</v>
      </c>
      <c r="Y274" s="154">
        <v>0</v>
      </c>
      <c r="Z274" s="154">
        <v>0</v>
      </c>
    </row>
    <row r="275" spans="1:26" s="141" customFormat="1">
      <c r="A275" s="65" t="s">
        <v>84</v>
      </c>
      <c r="B275" s="249" t="s">
        <v>84</v>
      </c>
      <c r="C275" s="250" t="s">
        <v>84</v>
      </c>
      <c r="D275" s="65" t="s">
        <v>84</v>
      </c>
      <c r="E275" s="65" t="s">
        <v>84</v>
      </c>
      <c r="F275" s="65" t="s">
        <v>84</v>
      </c>
      <c r="G275" s="65" t="s">
        <v>84</v>
      </c>
      <c r="H275" s="65" t="s">
        <v>84</v>
      </c>
      <c r="I275" s="65" t="s">
        <v>84</v>
      </c>
      <c r="J275" s="65" t="s">
        <v>84</v>
      </c>
      <c r="K275" s="65" t="s">
        <v>84</v>
      </c>
      <c r="L275" s="65" t="s">
        <v>84</v>
      </c>
      <c r="M275" s="65" t="s">
        <v>84</v>
      </c>
      <c r="N275" s="65" t="s">
        <v>84</v>
      </c>
      <c r="O275" s="249" t="s">
        <v>84</v>
      </c>
      <c r="P275" s="154">
        <v>1407601587028</v>
      </c>
      <c r="Q275" s="154">
        <v>0</v>
      </c>
      <c r="R275" s="154">
        <v>0</v>
      </c>
      <c r="S275" s="154">
        <v>1407601587028</v>
      </c>
      <c r="T275" s="154">
        <v>409652661175</v>
      </c>
      <c r="U275" s="154">
        <v>757069843060.04004</v>
      </c>
      <c r="V275" s="154">
        <v>240879082792.95999</v>
      </c>
      <c r="W275" s="154">
        <v>442742157082.16998</v>
      </c>
      <c r="X275" s="154">
        <v>185306946892.89999</v>
      </c>
      <c r="Y275" s="154">
        <v>183922233168.64999</v>
      </c>
      <c r="Z275" s="154">
        <v>183213213868.64999</v>
      </c>
    </row>
    <row r="276" spans="1:26" s="141" customFormat="1">
      <c r="A276" s="65"/>
      <c r="B276" s="249"/>
      <c r="C276" s="250"/>
      <c r="D276" s="65"/>
      <c r="E276" s="65"/>
      <c r="F276" s="65"/>
      <c r="G276" s="65"/>
      <c r="H276" s="65"/>
      <c r="I276" s="65"/>
      <c r="J276" s="65"/>
      <c r="K276" s="65"/>
      <c r="L276" s="65"/>
      <c r="M276" s="65"/>
      <c r="N276" s="65"/>
      <c r="O276" s="249"/>
      <c r="P276" s="154"/>
      <c r="Q276" s="154"/>
      <c r="R276" s="154"/>
      <c r="S276" s="154"/>
      <c r="T276" s="154"/>
      <c r="U276" s="154"/>
      <c r="V276" s="154"/>
      <c r="W276" s="154"/>
      <c r="X276" s="154"/>
      <c r="Y276" s="154"/>
      <c r="Z276" s="154"/>
    </row>
    <row r="277" spans="1:26" s="141" customFormat="1">
      <c r="A277" s="65"/>
      <c r="B277" s="249"/>
      <c r="C277" s="250"/>
      <c r="D277" s="65"/>
      <c r="E277" s="65"/>
      <c r="F277" s="65"/>
      <c r="G277" s="65"/>
      <c r="H277" s="65"/>
      <c r="I277" s="65"/>
      <c r="J277" s="65"/>
      <c r="K277" s="65"/>
      <c r="L277" s="65"/>
      <c r="M277" s="65"/>
      <c r="N277" s="65"/>
      <c r="O277" s="249"/>
      <c r="P277" s="154"/>
      <c r="Q277" s="154"/>
      <c r="R277" s="154"/>
      <c r="S277" s="154"/>
      <c r="T277" s="154"/>
      <c r="U277" s="154"/>
      <c r="V277" s="154"/>
      <c r="W277" s="154"/>
      <c r="X277" s="154"/>
      <c r="Y277" s="154"/>
      <c r="Z277" s="154"/>
    </row>
    <row r="278" spans="1:26" s="141" customFormat="1">
      <c r="A278" s="65"/>
      <c r="B278" s="249"/>
      <c r="C278" s="250"/>
      <c r="D278" s="65"/>
      <c r="E278" s="65"/>
      <c r="F278" s="65"/>
      <c r="G278" s="65"/>
      <c r="H278" s="65"/>
      <c r="I278" s="65"/>
      <c r="J278" s="65"/>
      <c r="K278" s="65"/>
      <c r="L278" s="65"/>
      <c r="M278" s="65"/>
      <c r="N278" s="65"/>
      <c r="O278" s="249"/>
      <c r="P278" s="154"/>
      <c r="Q278" s="154"/>
      <c r="R278" s="154"/>
      <c r="S278" s="154"/>
      <c r="T278" s="154"/>
      <c r="U278" s="154"/>
      <c r="V278" s="154"/>
      <c r="W278" s="154"/>
      <c r="X278" s="154"/>
      <c r="Y278" s="154"/>
      <c r="Z278" s="154"/>
    </row>
    <row r="279" spans="1:26" s="141" customFormat="1">
      <c r="A279" s="65"/>
      <c r="B279" s="249"/>
      <c r="C279" s="250"/>
      <c r="D279" s="65"/>
      <c r="E279" s="65"/>
      <c r="F279" s="65"/>
      <c r="G279" s="65"/>
      <c r="H279" s="65"/>
      <c r="I279" s="65"/>
      <c r="J279" s="65"/>
      <c r="K279" s="65"/>
      <c r="L279" s="65"/>
      <c r="M279" s="65"/>
      <c r="N279" s="65"/>
      <c r="O279" s="249"/>
      <c r="P279" s="154"/>
      <c r="Q279" s="154"/>
      <c r="R279" s="154"/>
      <c r="S279" s="154"/>
      <c r="T279" s="154"/>
      <c r="U279" s="154"/>
      <c r="V279" s="154"/>
      <c r="W279" s="154"/>
      <c r="X279" s="154"/>
      <c r="Y279" s="154"/>
      <c r="Z279" s="154"/>
    </row>
    <row r="280" spans="1:26" s="141" customFormat="1">
      <c r="A280" s="65"/>
      <c r="B280" s="249"/>
      <c r="C280" s="250"/>
      <c r="D280" s="65"/>
      <c r="E280" s="65"/>
      <c r="F280" s="65"/>
      <c r="G280" s="65"/>
      <c r="H280" s="65"/>
      <c r="I280" s="65"/>
      <c r="J280" s="65"/>
      <c r="K280" s="65"/>
      <c r="L280" s="65"/>
      <c r="M280" s="65"/>
      <c r="N280" s="65"/>
      <c r="O280" s="249"/>
      <c r="P280" s="154"/>
      <c r="Q280" s="154"/>
      <c r="R280" s="154"/>
      <c r="S280" s="154"/>
      <c r="T280" s="154"/>
      <c r="U280" s="154"/>
      <c r="V280" s="154"/>
      <c r="W280" s="154"/>
      <c r="X280" s="154"/>
      <c r="Y280" s="154"/>
      <c r="Z280" s="154"/>
    </row>
    <row r="281" spans="1:26" s="141" customFormat="1">
      <c r="A281" s="65"/>
      <c r="B281" s="249"/>
      <c r="C281" s="250"/>
      <c r="D281" s="65"/>
      <c r="E281" s="65"/>
      <c r="F281" s="65"/>
      <c r="G281" s="65"/>
      <c r="H281" s="65"/>
      <c r="I281" s="65"/>
      <c r="J281" s="65"/>
      <c r="K281" s="65"/>
      <c r="L281" s="65"/>
      <c r="M281" s="65"/>
      <c r="N281" s="65"/>
      <c r="O281" s="249"/>
      <c r="P281" s="154"/>
      <c r="Q281" s="154"/>
      <c r="R281" s="154"/>
      <c r="S281" s="154"/>
      <c r="T281" s="154"/>
      <c r="U281" s="154"/>
      <c r="V281" s="154"/>
      <c r="W281" s="154"/>
      <c r="X281" s="154"/>
      <c r="Y281" s="154"/>
      <c r="Z281" s="154"/>
    </row>
    <row r="282" spans="1:26" s="141" customFormat="1">
      <c r="A282" s="65"/>
      <c r="B282" s="249"/>
      <c r="C282" s="250"/>
      <c r="D282" s="65"/>
      <c r="E282" s="65"/>
      <c r="F282" s="65"/>
      <c r="G282" s="65"/>
      <c r="H282" s="65"/>
      <c r="I282" s="65"/>
      <c r="J282" s="65"/>
      <c r="K282" s="65"/>
      <c r="L282" s="65"/>
      <c r="M282" s="65"/>
      <c r="N282" s="65"/>
      <c r="O282" s="249"/>
      <c r="P282" s="154"/>
      <c r="Q282" s="154"/>
      <c r="R282" s="154"/>
      <c r="S282" s="154"/>
      <c r="T282" s="154"/>
      <c r="U282" s="154"/>
      <c r="V282" s="154"/>
      <c r="W282" s="154"/>
      <c r="X282" s="154"/>
      <c r="Y282" s="154"/>
      <c r="Z282" s="154"/>
    </row>
    <row r="283" spans="1:26" s="141" customFormat="1">
      <c r="A283" s="65"/>
      <c r="B283" s="249"/>
      <c r="C283" s="250"/>
      <c r="D283" s="65"/>
      <c r="E283" s="65"/>
      <c r="F283" s="65"/>
      <c r="G283" s="65"/>
      <c r="H283" s="65"/>
      <c r="I283" s="65"/>
      <c r="J283" s="65"/>
      <c r="K283" s="65"/>
      <c r="L283" s="65"/>
      <c r="M283" s="65"/>
      <c r="N283" s="65"/>
      <c r="O283" s="249"/>
      <c r="P283" s="154"/>
      <c r="Q283" s="154"/>
      <c r="R283" s="154"/>
      <c r="S283" s="154"/>
      <c r="T283" s="154"/>
      <c r="U283" s="154"/>
      <c r="V283" s="154"/>
      <c r="W283" s="154"/>
      <c r="X283" s="154"/>
      <c r="Y283" s="154"/>
      <c r="Z283" s="154"/>
    </row>
    <row r="284" spans="1:26" s="141" customFormat="1">
      <c r="A284" s="65"/>
      <c r="B284" s="249"/>
      <c r="C284" s="250"/>
      <c r="D284" s="65"/>
      <c r="E284" s="65"/>
      <c r="F284" s="65"/>
      <c r="G284" s="65"/>
      <c r="H284" s="65"/>
      <c r="I284" s="65"/>
      <c r="J284" s="65"/>
      <c r="K284" s="65"/>
      <c r="L284" s="65"/>
      <c r="M284" s="65"/>
      <c r="N284" s="65"/>
      <c r="O284" s="249"/>
      <c r="P284" s="154"/>
      <c r="Q284" s="154"/>
      <c r="R284" s="154"/>
      <c r="S284" s="154"/>
      <c r="T284" s="154"/>
      <c r="U284" s="154"/>
      <c r="V284" s="154"/>
      <c r="W284" s="154"/>
      <c r="X284" s="154"/>
      <c r="Y284" s="154"/>
      <c r="Z284" s="154"/>
    </row>
    <row r="285" spans="1:26" s="141" customFormat="1">
      <c r="A285" s="65"/>
      <c r="B285" s="249"/>
      <c r="C285" s="250"/>
      <c r="D285" s="65"/>
      <c r="E285" s="65"/>
      <c r="F285" s="65"/>
      <c r="G285" s="65"/>
      <c r="H285" s="65"/>
      <c r="I285" s="65"/>
      <c r="J285" s="65"/>
      <c r="K285" s="65"/>
      <c r="L285" s="65"/>
      <c r="M285" s="65"/>
      <c r="N285" s="65"/>
      <c r="O285" s="249"/>
      <c r="P285" s="154"/>
      <c r="Q285" s="154"/>
      <c r="R285" s="154"/>
      <c r="S285" s="154"/>
      <c r="T285" s="154"/>
      <c r="U285" s="154"/>
      <c r="V285" s="154"/>
      <c r="W285" s="154"/>
      <c r="X285" s="154"/>
      <c r="Y285" s="154"/>
      <c r="Z285" s="154"/>
    </row>
    <row r="286" spans="1:26" s="141" customFormat="1">
      <c r="A286" s="65"/>
      <c r="B286" s="249"/>
      <c r="C286" s="250"/>
      <c r="D286" s="65"/>
      <c r="E286" s="65"/>
      <c r="F286" s="65"/>
      <c r="G286" s="65"/>
      <c r="H286" s="65"/>
      <c r="I286" s="65"/>
      <c r="J286" s="65"/>
      <c r="K286" s="65"/>
      <c r="L286" s="65"/>
      <c r="M286" s="65"/>
      <c r="N286" s="65"/>
      <c r="O286" s="249"/>
      <c r="P286" s="154"/>
      <c r="Q286" s="154"/>
      <c r="R286" s="154"/>
      <c r="S286" s="154"/>
      <c r="T286" s="154"/>
      <c r="U286" s="154"/>
      <c r="V286" s="154"/>
      <c r="W286" s="154"/>
      <c r="X286" s="154"/>
      <c r="Y286" s="154"/>
      <c r="Z286" s="154"/>
    </row>
    <row r="287" spans="1:26" s="141" customFormat="1">
      <c r="A287" s="65"/>
      <c r="B287" s="249"/>
      <c r="C287" s="250"/>
      <c r="D287" s="65"/>
      <c r="E287" s="65"/>
      <c r="F287" s="65"/>
      <c r="G287" s="65"/>
      <c r="H287" s="65"/>
      <c r="I287" s="65"/>
      <c r="J287" s="65"/>
      <c r="K287" s="65"/>
      <c r="L287" s="65"/>
      <c r="M287" s="65"/>
      <c r="N287" s="65"/>
      <c r="O287" s="249"/>
      <c r="P287" s="154"/>
      <c r="Q287" s="154"/>
      <c r="R287" s="154"/>
      <c r="S287" s="154"/>
      <c r="T287" s="154"/>
      <c r="U287" s="154"/>
      <c r="V287" s="154"/>
      <c r="W287" s="154"/>
      <c r="X287" s="154"/>
      <c r="Y287" s="154"/>
      <c r="Z287" s="154"/>
    </row>
    <row r="288" spans="1:26" s="141" customFormat="1">
      <c r="A288" s="65"/>
      <c r="B288" s="249"/>
      <c r="C288" s="250"/>
      <c r="D288" s="65"/>
      <c r="E288" s="65"/>
      <c r="F288" s="65"/>
      <c r="G288" s="65"/>
      <c r="H288" s="65"/>
      <c r="I288" s="65"/>
      <c r="J288" s="65"/>
      <c r="K288" s="65"/>
      <c r="L288" s="65"/>
      <c r="M288" s="65"/>
      <c r="N288" s="65"/>
      <c r="O288" s="249"/>
      <c r="P288" s="154"/>
      <c r="Q288" s="154"/>
      <c r="R288" s="154"/>
      <c r="S288" s="154"/>
      <c r="T288" s="154"/>
      <c r="U288" s="154"/>
      <c r="V288" s="154"/>
      <c r="W288" s="154"/>
      <c r="X288" s="154"/>
      <c r="Y288" s="154"/>
      <c r="Z288" s="154"/>
    </row>
    <row r="289" spans="1:26" s="141" customFormat="1">
      <c r="A289" s="65"/>
      <c r="B289" s="249"/>
      <c r="C289" s="250"/>
      <c r="D289" s="65"/>
      <c r="E289" s="65"/>
      <c r="F289" s="65"/>
      <c r="G289" s="65"/>
      <c r="H289" s="65"/>
      <c r="I289" s="65"/>
      <c r="J289" s="65"/>
      <c r="K289" s="65"/>
      <c r="L289" s="65"/>
      <c r="M289" s="65"/>
      <c r="N289" s="65"/>
      <c r="O289" s="249"/>
      <c r="P289" s="154"/>
      <c r="Q289" s="154"/>
      <c r="R289" s="154"/>
      <c r="S289" s="154"/>
      <c r="T289" s="154"/>
      <c r="U289" s="154"/>
      <c r="V289" s="154"/>
      <c r="W289" s="154"/>
      <c r="X289" s="154"/>
      <c r="Y289" s="154"/>
      <c r="Z289" s="154"/>
    </row>
    <row r="290" spans="1:26" s="141" customFormat="1">
      <c r="A290" s="65"/>
      <c r="B290" s="249"/>
      <c r="C290" s="250"/>
      <c r="D290" s="65"/>
      <c r="E290" s="65"/>
      <c r="F290" s="65"/>
      <c r="G290" s="65"/>
      <c r="H290" s="65"/>
      <c r="I290" s="65"/>
      <c r="J290" s="65"/>
      <c r="K290" s="65"/>
      <c r="L290" s="65"/>
      <c r="M290" s="65"/>
      <c r="N290" s="65"/>
      <c r="O290" s="249"/>
      <c r="P290" s="154"/>
      <c r="Q290" s="154"/>
      <c r="R290" s="154"/>
      <c r="S290" s="154"/>
      <c r="T290" s="154"/>
      <c r="U290" s="154"/>
      <c r="V290" s="154"/>
      <c r="W290" s="154"/>
      <c r="X290" s="154"/>
      <c r="Y290" s="154"/>
      <c r="Z290" s="154"/>
    </row>
    <row r="291" spans="1:26" s="141" customFormat="1">
      <c r="A291" s="65"/>
      <c r="B291" s="249"/>
      <c r="C291" s="250"/>
      <c r="D291" s="65"/>
      <c r="E291" s="65"/>
      <c r="F291" s="65"/>
      <c r="G291" s="65"/>
      <c r="H291" s="65"/>
      <c r="I291" s="65"/>
      <c r="J291" s="65"/>
      <c r="K291" s="65"/>
      <c r="L291" s="65"/>
      <c r="M291" s="65"/>
      <c r="N291" s="65"/>
      <c r="O291" s="249"/>
      <c r="P291" s="154"/>
      <c r="Q291" s="154"/>
      <c r="R291" s="154"/>
      <c r="S291" s="154"/>
      <c r="T291" s="154"/>
      <c r="U291" s="154"/>
      <c r="V291" s="154"/>
      <c r="W291" s="154"/>
      <c r="X291" s="154"/>
      <c r="Y291" s="154"/>
      <c r="Z291" s="154"/>
    </row>
    <row r="292" spans="1:26" s="141" customFormat="1">
      <c r="A292" s="65"/>
      <c r="B292" s="249"/>
      <c r="C292" s="250"/>
      <c r="D292" s="65"/>
      <c r="E292" s="65"/>
      <c r="F292" s="65"/>
      <c r="G292" s="65"/>
      <c r="H292" s="65"/>
      <c r="I292" s="65"/>
      <c r="J292" s="65"/>
      <c r="K292" s="65"/>
      <c r="L292" s="65"/>
      <c r="M292" s="65"/>
      <c r="N292" s="65"/>
      <c r="O292" s="249"/>
      <c r="P292" s="154"/>
      <c r="Q292" s="154"/>
      <c r="R292" s="154"/>
      <c r="S292" s="154"/>
      <c r="T292" s="154"/>
      <c r="U292" s="154"/>
      <c r="V292" s="154"/>
      <c r="W292" s="154"/>
      <c r="X292" s="154"/>
      <c r="Y292" s="154"/>
      <c r="Z292" s="154"/>
    </row>
    <row r="293" spans="1:26" s="141" customFormat="1">
      <c r="A293" s="65"/>
      <c r="B293" s="249"/>
      <c r="C293" s="250"/>
      <c r="D293" s="65"/>
      <c r="E293" s="65"/>
      <c r="F293" s="65"/>
      <c r="G293" s="65"/>
      <c r="H293" s="65"/>
      <c r="I293" s="65"/>
      <c r="J293" s="65"/>
      <c r="K293" s="65"/>
      <c r="L293" s="65"/>
      <c r="M293" s="65"/>
      <c r="N293" s="65"/>
      <c r="O293" s="249"/>
      <c r="P293" s="154"/>
      <c r="Q293" s="154"/>
      <c r="R293" s="154"/>
      <c r="S293" s="154"/>
      <c r="T293" s="154"/>
      <c r="U293" s="154"/>
      <c r="V293" s="154"/>
      <c r="W293" s="154"/>
      <c r="X293" s="154"/>
      <c r="Y293" s="154"/>
      <c r="Z293" s="154"/>
    </row>
    <row r="294" spans="1:26" s="141" customFormat="1">
      <c r="A294" s="65"/>
      <c r="B294" s="249"/>
      <c r="C294" s="250"/>
      <c r="D294" s="65"/>
      <c r="E294" s="65"/>
      <c r="F294" s="65"/>
      <c r="G294" s="65"/>
      <c r="H294" s="65"/>
      <c r="I294" s="65"/>
      <c r="J294" s="65"/>
      <c r="K294" s="65"/>
      <c r="L294" s="65"/>
      <c r="M294" s="65"/>
      <c r="N294" s="65"/>
      <c r="O294" s="249"/>
      <c r="P294" s="154"/>
      <c r="Q294" s="154"/>
      <c r="R294" s="154"/>
      <c r="S294" s="154"/>
      <c r="T294" s="154"/>
      <c r="U294" s="154"/>
      <c r="V294" s="154"/>
      <c r="W294" s="154"/>
      <c r="X294" s="154"/>
      <c r="Y294" s="154"/>
      <c r="Z294" s="154"/>
    </row>
    <row r="295" spans="1:26" s="141" customFormat="1">
      <c r="A295" s="65"/>
      <c r="B295" s="249"/>
      <c r="C295" s="250"/>
      <c r="D295" s="65"/>
      <c r="E295" s="65"/>
      <c r="F295" s="65"/>
      <c r="G295" s="65"/>
      <c r="H295" s="65"/>
      <c r="I295" s="65"/>
      <c r="J295" s="65"/>
      <c r="K295" s="65"/>
      <c r="L295" s="65"/>
      <c r="M295" s="65"/>
      <c r="N295" s="65"/>
      <c r="O295" s="249"/>
      <c r="P295" s="154"/>
      <c r="Q295" s="154"/>
      <c r="R295" s="154"/>
      <c r="S295" s="154"/>
      <c r="T295" s="154"/>
      <c r="U295" s="154"/>
      <c r="V295" s="154"/>
      <c r="W295" s="154"/>
      <c r="X295" s="154"/>
      <c r="Y295" s="154"/>
      <c r="Z295" s="154"/>
    </row>
    <row r="296" spans="1:26" s="141" customFormat="1">
      <c r="A296" s="65"/>
      <c r="B296" s="249"/>
      <c r="C296" s="250"/>
      <c r="D296" s="65"/>
      <c r="E296" s="65"/>
      <c r="F296" s="65"/>
      <c r="G296" s="65"/>
      <c r="H296" s="65"/>
      <c r="I296" s="65"/>
      <c r="J296" s="65"/>
      <c r="K296" s="65"/>
      <c r="L296" s="65"/>
      <c r="M296" s="65"/>
      <c r="N296" s="65"/>
      <c r="O296" s="249"/>
      <c r="P296" s="154"/>
      <c r="Q296" s="154"/>
      <c r="R296" s="154"/>
      <c r="S296" s="154"/>
      <c r="T296" s="154"/>
      <c r="U296" s="154"/>
      <c r="V296" s="154"/>
      <c r="W296" s="154"/>
      <c r="X296" s="154"/>
      <c r="Y296" s="154"/>
      <c r="Z296" s="154"/>
    </row>
    <row r="297" spans="1:26" s="141" customFormat="1">
      <c r="A297" s="65"/>
      <c r="B297" s="249"/>
      <c r="C297" s="250"/>
      <c r="D297" s="65"/>
      <c r="E297" s="65"/>
      <c r="F297" s="65"/>
      <c r="G297" s="65"/>
      <c r="H297" s="65"/>
      <c r="I297" s="65"/>
      <c r="J297" s="65"/>
      <c r="K297" s="65"/>
      <c r="L297" s="65"/>
      <c r="M297" s="65"/>
      <c r="N297" s="65"/>
      <c r="O297" s="249"/>
      <c r="P297" s="154"/>
      <c r="Q297" s="154"/>
      <c r="R297" s="154"/>
      <c r="S297" s="154"/>
      <c r="T297" s="154"/>
      <c r="U297" s="154"/>
      <c r="V297" s="154"/>
      <c r="W297" s="154"/>
      <c r="X297" s="154"/>
      <c r="Y297" s="154"/>
      <c r="Z297" s="154"/>
    </row>
    <row r="298" spans="1:26" s="141" customFormat="1">
      <c r="A298" s="65"/>
      <c r="B298" s="249"/>
      <c r="C298" s="250"/>
      <c r="D298" s="65"/>
      <c r="E298" s="65"/>
      <c r="F298" s="65"/>
      <c r="G298" s="65"/>
      <c r="H298" s="65"/>
      <c r="I298" s="65"/>
      <c r="J298" s="65"/>
      <c r="K298" s="65"/>
      <c r="L298" s="65"/>
      <c r="M298" s="65"/>
      <c r="N298" s="65"/>
      <c r="O298" s="249"/>
      <c r="P298" s="154"/>
      <c r="Q298" s="154"/>
      <c r="R298" s="154"/>
      <c r="S298" s="154"/>
      <c r="T298" s="154"/>
      <c r="U298" s="154"/>
      <c r="V298" s="154"/>
      <c r="W298" s="154"/>
      <c r="X298" s="154"/>
      <c r="Y298" s="154"/>
      <c r="Z298" s="154"/>
    </row>
    <row r="299" spans="1:26" s="141" customFormat="1">
      <c r="A299" s="65"/>
      <c r="B299" s="249"/>
      <c r="C299" s="250"/>
      <c r="D299" s="65"/>
      <c r="E299" s="65"/>
      <c r="F299" s="65"/>
      <c r="G299" s="65"/>
      <c r="H299" s="65"/>
      <c r="I299" s="65"/>
      <c r="J299" s="65"/>
      <c r="K299" s="65"/>
      <c r="L299" s="65"/>
      <c r="M299" s="65"/>
      <c r="N299" s="65"/>
      <c r="O299" s="249"/>
      <c r="P299" s="154"/>
      <c r="Q299" s="154"/>
      <c r="R299" s="154"/>
      <c r="S299" s="154"/>
      <c r="T299" s="154"/>
      <c r="U299" s="154"/>
      <c r="V299" s="154"/>
      <c r="W299" s="154"/>
      <c r="X299" s="154"/>
      <c r="Y299" s="154"/>
      <c r="Z299" s="154"/>
    </row>
    <row r="300" spans="1:26" s="141" customFormat="1">
      <c r="A300" s="65"/>
      <c r="B300" s="249"/>
      <c r="C300" s="250"/>
      <c r="D300" s="65"/>
      <c r="E300" s="65"/>
      <c r="F300" s="65"/>
      <c r="G300" s="65"/>
      <c r="H300" s="65"/>
      <c r="I300" s="65"/>
      <c r="J300" s="65"/>
      <c r="K300" s="65"/>
      <c r="L300" s="65"/>
      <c r="M300" s="65"/>
      <c r="N300" s="65"/>
      <c r="O300" s="249"/>
      <c r="P300" s="154"/>
      <c r="Q300" s="154"/>
      <c r="R300" s="154"/>
      <c r="S300" s="154"/>
      <c r="T300" s="154"/>
      <c r="U300" s="154"/>
      <c r="V300" s="154"/>
      <c r="W300" s="154"/>
      <c r="X300" s="154"/>
      <c r="Y300" s="154"/>
      <c r="Z300" s="154"/>
    </row>
    <row r="301" spans="1:26" s="141" customFormat="1">
      <c r="A301" s="65"/>
      <c r="B301" s="249"/>
      <c r="C301" s="250"/>
      <c r="D301" s="65"/>
      <c r="E301" s="65"/>
      <c r="F301" s="65"/>
      <c r="G301" s="65"/>
      <c r="H301" s="65"/>
      <c r="I301" s="65"/>
      <c r="J301" s="65"/>
      <c r="K301" s="65"/>
      <c r="L301" s="65"/>
      <c r="M301" s="65"/>
      <c r="N301" s="65"/>
      <c r="O301" s="249"/>
      <c r="P301" s="154"/>
      <c r="Q301" s="154"/>
      <c r="R301" s="154"/>
      <c r="S301" s="154"/>
      <c r="T301" s="154"/>
      <c r="U301" s="154"/>
      <c r="V301" s="154"/>
      <c r="W301" s="154"/>
      <c r="X301" s="154"/>
      <c r="Y301" s="154"/>
      <c r="Z301" s="154"/>
    </row>
    <row r="302" spans="1:26" s="141" customFormat="1">
      <c r="A302" s="65"/>
      <c r="B302" s="249"/>
      <c r="C302" s="250"/>
      <c r="D302" s="65"/>
      <c r="E302" s="65"/>
      <c r="F302" s="65"/>
      <c r="G302" s="65"/>
      <c r="H302" s="65"/>
      <c r="I302" s="65"/>
      <c r="J302" s="65"/>
      <c r="K302" s="65"/>
      <c r="L302" s="65"/>
      <c r="M302" s="65"/>
      <c r="N302" s="65"/>
      <c r="O302" s="249"/>
      <c r="P302" s="154"/>
      <c r="Q302" s="154"/>
      <c r="R302" s="154"/>
      <c r="S302" s="154"/>
      <c r="T302" s="154"/>
      <c r="U302" s="154"/>
      <c r="V302" s="154"/>
      <c r="W302" s="154"/>
      <c r="X302" s="154"/>
      <c r="Y302" s="154"/>
      <c r="Z302" s="154"/>
    </row>
    <row r="303" spans="1:26" s="141" customFormat="1">
      <c r="A303" s="65"/>
      <c r="B303" s="249"/>
      <c r="C303" s="250"/>
      <c r="D303" s="65"/>
      <c r="E303" s="65"/>
      <c r="F303" s="65"/>
      <c r="G303" s="65"/>
      <c r="H303" s="65"/>
      <c r="I303" s="65"/>
      <c r="J303" s="65"/>
      <c r="K303" s="65"/>
      <c r="L303" s="65"/>
      <c r="M303" s="65"/>
      <c r="N303" s="65"/>
      <c r="O303" s="249"/>
      <c r="P303" s="154"/>
      <c r="Q303" s="154"/>
      <c r="R303" s="154"/>
      <c r="S303" s="154"/>
      <c r="T303" s="154"/>
      <c r="U303" s="154"/>
      <c r="V303" s="154"/>
      <c r="W303" s="154"/>
      <c r="X303" s="154"/>
      <c r="Y303" s="154"/>
      <c r="Z303" s="154"/>
    </row>
    <row r="304" spans="1:26" s="141" customFormat="1">
      <c r="A304" s="65"/>
      <c r="B304" s="249"/>
      <c r="C304" s="250"/>
      <c r="D304" s="65"/>
      <c r="E304" s="65"/>
      <c r="F304" s="65"/>
      <c r="G304" s="65"/>
      <c r="H304" s="65"/>
      <c r="I304" s="65"/>
      <c r="J304" s="65"/>
      <c r="K304" s="65"/>
      <c r="L304" s="65"/>
      <c r="M304" s="65"/>
      <c r="N304" s="65"/>
      <c r="O304" s="249"/>
      <c r="P304" s="154"/>
      <c r="Q304" s="154"/>
      <c r="R304" s="154"/>
      <c r="S304" s="154"/>
      <c r="T304" s="154"/>
      <c r="U304" s="154"/>
      <c r="V304" s="154"/>
      <c r="W304" s="154"/>
      <c r="X304" s="154"/>
      <c r="Y304" s="154"/>
      <c r="Z304" s="154"/>
    </row>
    <row r="305" spans="1:26" s="141" customFormat="1">
      <c r="A305" s="65"/>
      <c r="B305" s="249"/>
      <c r="C305" s="250"/>
      <c r="D305" s="65"/>
      <c r="E305" s="65"/>
      <c r="F305" s="65"/>
      <c r="G305" s="65"/>
      <c r="H305" s="65"/>
      <c r="I305" s="65"/>
      <c r="J305" s="65"/>
      <c r="K305" s="65"/>
      <c r="L305" s="65"/>
      <c r="M305" s="65"/>
      <c r="N305" s="65"/>
      <c r="O305" s="249"/>
      <c r="P305" s="154"/>
      <c r="Q305" s="154"/>
      <c r="R305" s="154"/>
      <c r="S305" s="154"/>
      <c r="T305" s="154"/>
      <c r="U305" s="154"/>
      <c r="V305" s="154"/>
      <c r="W305" s="154"/>
      <c r="X305" s="154"/>
      <c r="Y305" s="154"/>
      <c r="Z305" s="154"/>
    </row>
    <row r="306" spans="1:26" s="141" customFormat="1">
      <c r="A306" s="65"/>
      <c r="B306" s="249"/>
      <c r="C306" s="250"/>
      <c r="D306" s="65"/>
      <c r="E306" s="65"/>
      <c r="F306" s="65"/>
      <c r="G306" s="65"/>
      <c r="H306" s="65"/>
      <c r="I306" s="65"/>
      <c r="J306" s="65"/>
      <c r="K306" s="65"/>
      <c r="L306" s="65"/>
      <c r="M306" s="65"/>
      <c r="N306" s="65"/>
      <c r="O306" s="249"/>
      <c r="P306" s="154"/>
      <c r="Q306" s="154"/>
      <c r="R306" s="154"/>
      <c r="S306" s="154"/>
      <c r="T306" s="154"/>
      <c r="U306" s="154"/>
      <c r="V306" s="154"/>
      <c r="W306" s="154"/>
      <c r="X306" s="154"/>
      <c r="Y306" s="154"/>
      <c r="Z306" s="154"/>
    </row>
    <row r="307" spans="1:26" s="141" customFormat="1">
      <c r="A307" s="65"/>
      <c r="B307" s="249"/>
      <c r="C307" s="250"/>
      <c r="D307" s="65"/>
      <c r="E307" s="65"/>
      <c r="F307" s="65"/>
      <c r="G307" s="65"/>
      <c r="H307" s="65"/>
      <c r="I307" s="65"/>
      <c r="J307" s="65"/>
      <c r="K307" s="65"/>
      <c r="L307" s="65"/>
      <c r="M307" s="65"/>
      <c r="N307" s="65"/>
      <c r="O307" s="249"/>
      <c r="P307" s="154"/>
      <c r="Q307" s="154"/>
      <c r="R307" s="154"/>
      <c r="S307" s="154"/>
      <c r="T307" s="154"/>
      <c r="U307" s="154"/>
      <c r="V307" s="154"/>
      <c r="W307" s="154"/>
      <c r="X307" s="154"/>
      <c r="Y307" s="154"/>
      <c r="Z307" s="154"/>
    </row>
    <row r="308" spans="1:26" s="141" customFormat="1">
      <c r="A308" s="65"/>
      <c r="B308" s="249"/>
      <c r="C308" s="250"/>
      <c r="D308" s="65"/>
      <c r="E308" s="65"/>
      <c r="F308" s="65"/>
      <c r="G308" s="65"/>
      <c r="H308" s="65"/>
      <c r="I308" s="65"/>
      <c r="J308" s="65"/>
      <c r="K308" s="65"/>
      <c r="L308" s="65"/>
      <c r="M308" s="65"/>
      <c r="N308" s="65"/>
      <c r="O308" s="249"/>
      <c r="P308" s="154"/>
      <c r="Q308" s="154"/>
      <c r="R308" s="154"/>
      <c r="S308" s="154"/>
      <c r="T308" s="154"/>
      <c r="U308" s="154"/>
      <c r="V308" s="154"/>
      <c r="W308" s="154"/>
      <c r="X308" s="154"/>
      <c r="Y308" s="154"/>
      <c r="Z308" s="154"/>
    </row>
    <row r="309" spans="1:26" s="141" customFormat="1">
      <c r="A309" s="65"/>
      <c r="B309" s="249"/>
      <c r="C309" s="250"/>
      <c r="D309" s="65"/>
      <c r="E309" s="65"/>
      <c r="F309" s="65"/>
      <c r="G309" s="65"/>
      <c r="H309" s="65"/>
      <c r="I309" s="65"/>
      <c r="J309" s="65"/>
      <c r="K309" s="65"/>
      <c r="L309" s="65"/>
      <c r="M309" s="65"/>
      <c r="N309" s="65"/>
      <c r="O309" s="249"/>
      <c r="P309" s="154"/>
      <c r="Q309" s="154"/>
      <c r="R309" s="154"/>
      <c r="S309" s="154"/>
      <c r="T309" s="154"/>
      <c r="U309" s="154"/>
      <c r="V309" s="154"/>
      <c r="W309" s="154"/>
      <c r="X309" s="154"/>
      <c r="Y309" s="154"/>
      <c r="Z309" s="154"/>
    </row>
    <row r="310" spans="1:26" s="141" customFormat="1">
      <c r="A310" s="65"/>
      <c r="B310" s="249"/>
      <c r="C310" s="250"/>
      <c r="D310" s="65"/>
      <c r="E310" s="65"/>
      <c r="F310" s="65"/>
      <c r="G310" s="65"/>
      <c r="H310" s="65"/>
      <c r="I310" s="65"/>
      <c r="J310" s="65"/>
      <c r="K310" s="65"/>
      <c r="L310" s="65"/>
      <c r="M310" s="65"/>
      <c r="N310" s="65"/>
      <c r="O310" s="249"/>
      <c r="P310" s="154"/>
      <c r="Q310" s="154"/>
      <c r="R310" s="154"/>
      <c r="S310" s="154"/>
      <c r="T310" s="154"/>
      <c r="U310" s="154"/>
      <c r="V310" s="154"/>
      <c r="W310" s="154"/>
      <c r="X310" s="154"/>
      <c r="Y310" s="154"/>
      <c r="Z310" s="154"/>
    </row>
    <row r="311" spans="1:26" s="141" customFormat="1">
      <c r="A311" s="65"/>
      <c r="B311" s="249"/>
      <c r="C311" s="250"/>
      <c r="D311" s="65"/>
      <c r="E311" s="65"/>
      <c r="F311" s="65"/>
      <c r="G311" s="65"/>
      <c r="H311" s="65"/>
      <c r="I311" s="65"/>
      <c r="J311" s="65"/>
      <c r="K311" s="65"/>
      <c r="L311" s="65"/>
      <c r="M311" s="65"/>
      <c r="N311" s="65"/>
      <c r="O311" s="249"/>
      <c r="P311" s="154"/>
      <c r="Q311" s="154"/>
      <c r="R311" s="154"/>
      <c r="S311" s="154"/>
      <c r="T311" s="154"/>
      <c r="U311" s="154"/>
      <c r="V311" s="154"/>
      <c r="W311" s="154"/>
      <c r="X311" s="154"/>
      <c r="Y311" s="154"/>
      <c r="Z311" s="154"/>
    </row>
    <row r="312" spans="1:26" s="141" customFormat="1">
      <c r="A312" s="65"/>
      <c r="B312" s="249"/>
      <c r="C312" s="250"/>
      <c r="D312" s="65"/>
      <c r="E312" s="65"/>
      <c r="F312" s="65"/>
      <c r="G312" s="65"/>
      <c r="H312" s="65"/>
      <c r="I312" s="65"/>
      <c r="J312" s="65"/>
      <c r="K312" s="65"/>
      <c r="L312" s="65"/>
      <c r="M312" s="65"/>
      <c r="N312" s="65"/>
      <c r="O312" s="249"/>
      <c r="P312" s="154"/>
      <c r="Q312" s="154"/>
      <c r="R312" s="154"/>
      <c r="S312" s="154"/>
      <c r="T312" s="154"/>
      <c r="U312" s="154"/>
      <c r="V312" s="154"/>
      <c r="W312" s="154"/>
      <c r="X312" s="154"/>
      <c r="Y312" s="154"/>
      <c r="Z312" s="154"/>
    </row>
    <row r="313" spans="1:26" s="141" customFormat="1">
      <c r="A313" s="65"/>
      <c r="B313" s="249"/>
      <c r="C313" s="250"/>
      <c r="D313" s="65"/>
      <c r="E313" s="65"/>
      <c r="F313" s="65"/>
      <c r="G313" s="65"/>
      <c r="H313" s="65"/>
      <c r="I313" s="65"/>
      <c r="J313" s="65"/>
      <c r="K313" s="65"/>
      <c r="L313" s="65"/>
      <c r="M313" s="65"/>
      <c r="N313" s="65"/>
      <c r="O313" s="249"/>
      <c r="P313" s="154"/>
      <c r="Q313" s="154"/>
      <c r="R313" s="154"/>
      <c r="S313" s="154"/>
      <c r="T313" s="154"/>
      <c r="U313" s="154"/>
      <c r="V313" s="154"/>
      <c r="W313" s="154"/>
      <c r="X313" s="154"/>
      <c r="Y313" s="154"/>
      <c r="Z313" s="154"/>
    </row>
    <row r="314" spans="1:26" s="141" customFormat="1">
      <c r="A314" s="65"/>
      <c r="B314" s="249"/>
      <c r="C314" s="250"/>
      <c r="D314" s="65"/>
      <c r="E314" s="65"/>
      <c r="F314" s="65"/>
      <c r="G314" s="65"/>
      <c r="H314" s="65"/>
      <c r="I314" s="65"/>
      <c r="J314" s="65"/>
      <c r="K314" s="65"/>
      <c r="L314" s="65"/>
      <c r="M314" s="65"/>
      <c r="N314" s="65"/>
      <c r="O314" s="249"/>
      <c r="P314" s="154"/>
      <c r="Q314" s="154"/>
      <c r="R314" s="154"/>
      <c r="S314" s="154"/>
      <c r="T314" s="154"/>
      <c r="U314" s="154"/>
      <c r="V314" s="154"/>
      <c r="W314" s="154"/>
      <c r="X314" s="154"/>
      <c r="Y314" s="154"/>
      <c r="Z314" s="154"/>
    </row>
    <row r="315" spans="1:26" s="141" customFormat="1">
      <c r="A315" s="65"/>
      <c r="B315" s="249"/>
      <c r="C315" s="250"/>
      <c r="D315" s="65"/>
      <c r="E315" s="65"/>
      <c r="F315" s="65"/>
      <c r="G315" s="65"/>
      <c r="H315" s="65"/>
      <c r="I315" s="65"/>
      <c r="J315" s="65"/>
      <c r="K315" s="65"/>
      <c r="L315" s="65"/>
      <c r="M315" s="65"/>
      <c r="N315" s="65"/>
      <c r="O315" s="249"/>
      <c r="P315" s="154"/>
      <c r="Q315" s="154"/>
      <c r="R315" s="154"/>
      <c r="S315" s="154"/>
      <c r="T315" s="154"/>
      <c r="U315" s="154"/>
      <c r="V315" s="154"/>
      <c r="W315" s="154"/>
      <c r="X315" s="154"/>
      <c r="Y315" s="154"/>
      <c r="Z315" s="154"/>
    </row>
    <row r="316" spans="1:26" s="141" customFormat="1">
      <c r="A316" s="65"/>
      <c r="B316" s="249"/>
      <c r="C316" s="250"/>
      <c r="D316" s="65"/>
      <c r="E316" s="65"/>
      <c r="F316" s="65"/>
      <c r="G316" s="65"/>
      <c r="H316" s="65"/>
      <c r="I316" s="65"/>
      <c r="J316" s="65"/>
      <c r="K316" s="65"/>
      <c r="L316" s="65"/>
      <c r="M316" s="65"/>
      <c r="N316" s="65"/>
      <c r="O316" s="249"/>
      <c r="P316" s="154"/>
      <c r="Q316" s="154"/>
      <c r="R316" s="154"/>
      <c r="S316" s="154"/>
      <c r="T316" s="154"/>
      <c r="U316" s="154"/>
      <c r="V316" s="154"/>
      <c r="W316" s="154"/>
      <c r="X316" s="154"/>
      <c r="Y316" s="154"/>
      <c r="Z316" s="154"/>
    </row>
    <row r="317" spans="1:26" s="141" customFormat="1">
      <c r="A317" s="65"/>
      <c r="B317" s="249"/>
      <c r="C317" s="250"/>
      <c r="D317" s="65"/>
      <c r="E317" s="65"/>
      <c r="F317" s="65"/>
      <c r="G317" s="65"/>
      <c r="H317" s="65"/>
      <c r="I317" s="65"/>
      <c r="J317" s="65"/>
      <c r="K317" s="65"/>
      <c r="L317" s="65"/>
      <c r="M317" s="65"/>
      <c r="N317" s="65"/>
      <c r="O317" s="249"/>
      <c r="P317" s="154"/>
      <c r="Q317" s="154"/>
      <c r="R317" s="154"/>
      <c r="S317" s="154"/>
      <c r="T317" s="154"/>
      <c r="U317" s="154"/>
      <c r="V317" s="154"/>
      <c r="W317" s="154"/>
      <c r="X317" s="154"/>
      <c r="Y317" s="154"/>
      <c r="Z317" s="154"/>
    </row>
    <row r="318" spans="1:26" s="141" customFormat="1">
      <c r="A318" s="65"/>
      <c r="B318" s="249"/>
      <c r="C318" s="250"/>
      <c r="D318" s="65"/>
      <c r="E318" s="65"/>
      <c r="F318" s="65"/>
      <c r="G318" s="65"/>
      <c r="H318" s="65"/>
      <c r="I318" s="65"/>
      <c r="J318" s="65"/>
      <c r="K318" s="65"/>
      <c r="L318" s="65"/>
      <c r="M318" s="65"/>
      <c r="N318" s="65"/>
      <c r="O318" s="249"/>
      <c r="P318" s="154"/>
      <c r="Q318" s="154"/>
      <c r="R318" s="154"/>
      <c r="S318" s="154"/>
      <c r="T318" s="154"/>
      <c r="U318" s="154"/>
      <c r="V318" s="154"/>
      <c r="W318" s="154"/>
      <c r="X318" s="154"/>
      <c r="Y318" s="154"/>
      <c r="Z318" s="154"/>
    </row>
    <row r="319" spans="1:26" s="141" customFormat="1">
      <c r="A319" s="65"/>
      <c r="B319" s="249"/>
      <c r="C319" s="250"/>
      <c r="D319" s="65"/>
      <c r="E319" s="65"/>
      <c r="F319" s="65"/>
      <c r="G319" s="65"/>
      <c r="H319" s="65"/>
      <c r="I319" s="65"/>
      <c r="J319" s="65"/>
      <c r="K319" s="65"/>
      <c r="L319" s="65"/>
      <c r="M319" s="65"/>
      <c r="N319" s="65"/>
      <c r="O319" s="249"/>
      <c r="P319" s="154"/>
      <c r="Q319" s="154"/>
      <c r="R319" s="154"/>
      <c r="S319" s="154"/>
      <c r="T319" s="154"/>
      <c r="U319" s="154"/>
      <c r="V319" s="154"/>
      <c r="W319" s="154"/>
      <c r="X319" s="154"/>
      <c r="Y319" s="154"/>
      <c r="Z319" s="154"/>
    </row>
    <row r="320" spans="1:26" s="141" customFormat="1">
      <c r="A320" s="65"/>
      <c r="B320" s="249"/>
      <c r="C320" s="250"/>
      <c r="D320" s="65"/>
      <c r="E320" s="65"/>
      <c r="F320" s="65"/>
      <c r="G320" s="65"/>
      <c r="H320" s="65"/>
      <c r="I320" s="65"/>
      <c r="J320" s="65"/>
      <c r="K320" s="65"/>
      <c r="L320" s="65"/>
      <c r="M320" s="65"/>
      <c r="N320" s="65"/>
      <c r="O320" s="249"/>
      <c r="P320" s="154"/>
      <c r="Q320" s="154"/>
      <c r="R320" s="154"/>
      <c r="S320" s="154"/>
      <c r="T320" s="154"/>
      <c r="U320" s="154"/>
      <c r="V320" s="154"/>
      <c r="W320" s="154"/>
      <c r="X320" s="154"/>
      <c r="Y320" s="154"/>
      <c r="Z320" s="154"/>
    </row>
    <row r="321" spans="1:26" s="141" customFormat="1">
      <c r="A321" s="65"/>
      <c r="B321" s="249"/>
      <c r="C321" s="250"/>
      <c r="D321" s="65"/>
      <c r="E321" s="65"/>
      <c r="F321" s="65"/>
      <c r="G321" s="65"/>
      <c r="H321" s="65"/>
      <c r="I321" s="65"/>
      <c r="J321" s="65"/>
      <c r="K321" s="65"/>
      <c r="L321" s="65"/>
      <c r="M321" s="65"/>
      <c r="N321" s="65"/>
      <c r="O321" s="249"/>
      <c r="P321" s="154"/>
      <c r="Q321" s="154"/>
      <c r="R321" s="154"/>
      <c r="S321" s="154"/>
      <c r="T321" s="154"/>
      <c r="U321" s="154"/>
      <c r="V321" s="154"/>
      <c r="W321" s="154"/>
      <c r="X321" s="154"/>
      <c r="Y321" s="154"/>
      <c r="Z321" s="154"/>
    </row>
    <row r="322" spans="1:26" s="141" customFormat="1">
      <c r="A322" s="65"/>
      <c r="B322" s="249"/>
      <c r="C322" s="250"/>
      <c r="D322" s="65"/>
      <c r="E322" s="65"/>
      <c r="F322" s="65"/>
      <c r="G322" s="65"/>
      <c r="H322" s="65"/>
      <c r="I322" s="65"/>
      <c r="J322" s="65"/>
      <c r="K322" s="65"/>
      <c r="L322" s="65"/>
      <c r="M322" s="65"/>
      <c r="N322" s="65"/>
      <c r="O322" s="249"/>
      <c r="P322" s="154"/>
      <c r="Q322" s="154"/>
      <c r="R322" s="154"/>
      <c r="S322" s="154"/>
      <c r="T322" s="154"/>
      <c r="U322" s="154"/>
      <c r="V322" s="154"/>
      <c r="W322" s="154"/>
      <c r="X322" s="154"/>
      <c r="Y322" s="154"/>
      <c r="Z322" s="154"/>
    </row>
    <row r="323" spans="1:26" s="141" customFormat="1">
      <c r="A323" s="65"/>
      <c r="B323" s="249"/>
      <c r="C323" s="250"/>
      <c r="D323" s="65"/>
      <c r="E323" s="65"/>
      <c r="F323" s="65"/>
      <c r="G323" s="65"/>
      <c r="H323" s="65"/>
      <c r="I323" s="65"/>
      <c r="J323" s="65"/>
      <c r="K323" s="65"/>
      <c r="L323" s="65"/>
      <c r="M323" s="65"/>
      <c r="N323" s="65"/>
      <c r="O323" s="249"/>
      <c r="P323" s="154"/>
      <c r="Q323" s="154"/>
      <c r="R323" s="154"/>
      <c r="S323" s="154"/>
      <c r="T323" s="154"/>
      <c r="U323" s="154"/>
      <c r="V323" s="154"/>
      <c r="W323" s="154"/>
      <c r="X323" s="154"/>
      <c r="Y323" s="154"/>
      <c r="Z323" s="154"/>
    </row>
    <row r="324" spans="1:26" s="141" customFormat="1">
      <c r="A324" s="65"/>
      <c r="B324" s="249"/>
      <c r="C324" s="250"/>
      <c r="D324" s="65"/>
      <c r="E324" s="65"/>
      <c r="F324" s="65"/>
      <c r="G324" s="65"/>
      <c r="H324" s="65"/>
      <c r="I324" s="65"/>
      <c r="J324" s="65"/>
      <c r="K324" s="65"/>
      <c r="L324" s="65"/>
      <c r="M324" s="65"/>
      <c r="N324" s="65"/>
      <c r="O324" s="249"/>
      <c r="P324" s="154"/>
      <c r="Q324" s="154"/>
      <c r="R324" s="154"/>
      <c r="S324" s="154"/>
      <c r="T324" s="154"/>
      <c r="U324" s="154"/>
      <c r="V324" s="154"/>
      <c r="W324" s="154"/>
      <c r="X324" s="154"/>
      <c r="Y324" s="154"/>
      <c r="Z324" s="154"/>
    </row>
    <row r="325" spans="1:26" s="141" customFormat="1">
      <c r="A325" s="65"/>
      <c r="B325" s="249"/>
      <c r="C325" s="250"/>
      <c r="D325" s="65"/>
      <c r="E325" s="65"/>
      <c r="F325" s="65"/>
      <c r="G325" s="65"/>
      <c r="H325" s="65"/>
      <c r="I325" s="65"/>
      <c r="J325" s="65"/>
      <c r="K325" s="65"/>
      <c r="L325" s="65"/>
      <c r="M325" s="65"/>
      <c r="N325" s="65"/>
      <c r="O325" s="249"/>
      <c r="P325" s="154"/>
      <c r="Q325" s="154"/>
      <c r="R325" s="154"/>
      <c r="S325" s="154"/>
      <c r="T325" s="154"/>
      <c r="U325" s="154"/>
      <c r="V325" s="154"/>
      <c r="W325" s="154"/>
      <c r="X325" s="154"/>
      <c r="Y325" s="154"/>
      <c r="Z325" s="154"/>
    </row>
    <row r="326" spans="1:26" s="141" customFormat="1">
      <c r="A326" s="65"/>
      <c r="B326" s="249"/>
      <c r="C326" s="250"/>
      <c r="D326" s="65"/>
      <c r="E326" s="65"/>
      <c r="F326" s="65"/>
      <c r="G326" s="65"/>
      <c r="H326" s="65"/>
      <c r="I326" s="65"/>
      <c r="J326" s="65"/>
      <c r="K326" s="65"/>
      <c r="L326" s="65"/>
      <c r="M326" s="65"/>
      <c r="N326" s="65"/>
      <c r="O326" s="249"/>
      <c r="P326" s="154"/>
      <c r="Q326" s="154"/>
      <c r="R326" s="154"/>
      <c r="S326" s="154"/>
      <c r="T326" s="154"/>
      <c r="U326" s="154"/>
      <c r="V326" s="154"/>
      <c r="W326" s="154"/>
      <c r="X326" s="154"/>
      <c r="Y326" s="154"/>
      <c r="Z326" s="154"/>
    </row>
    <row r="327" spans="1:26" s="141" customFormat="1">
      <c r="A327" s="65"/>
      <c r="B327" s="249"/>
      <c r="C327" s="250"/>
      <c r="D327" s="65"/>
      <c r="E327" s="65"/>
      <c r="F327" s="65"/>
      <c r="G327" s="65"/>
      <c r="H327" s="65"/>
      <c r="I327" s="65"/>
      <c r="J327" s="65"/>
      <c r="K327" s="65"/>
      <c r="L327" s="65"/>
      <c r="M327" s="65"/>
      <c r="N327" s="65"/>
      <c r="O327" s="249"/>
      <c r="P327" s="154"/>
      <c r="Q327" s="154"/>
      <c r="R327" s="154"/>
      <c r="S327" s="154"/>
      <c r="T327" s="154"/>
      <c r="U327" s="154"/>
      <c r="V327" s="154"/>
      <c r="W327" s="154"/>
      <c r="X327" s="154"/>
      <c r="Y327" s="154"/>
      <c r="Z327" s="154"/>
    </row>
    <row r="328" spans="1:26" s="141" customFormat="1">
      <c r="A328" s="65"/>
      <c r="B328" s="249"/>
      <c r="C328" s="250"/>
      <c r="D328" s="65"/>
      <c r="E328" s="65"/>
      <c r="F328" s="65"/>
      <c r="G328" s="65"/>
      <c r="H328" s="65"/>
      <c r="I328" s="65"/>
      <c r="J328" s="65"/>
      <c r="K328" s="65"/>
      <c r="L328" s="65"/>
      <c r="M328" s="65"/>
      <c r="N328" s="65"/>
      <c r="O328" s="249"/>
      <c r="P328" s="154"/>
      <c r="Q328" s="154"/>
      <c r="R328" s="154"/>
      <c r="S328" s="154"/>
      <c r="T328" s="154"/>
      <c r="U328" s="154"/>
      <c r="V328" s="154"/>
      <c r="W328" s="154"/>
      <c r="X328" s="154"/>
      <c r="Y328" s="154"/>
      <c r="Z328" s="154"/>
    </row>
    <row r="329" spans="1:26" s="141" customFormat="1">
      <c r="A329" s="65"/>
      <c r="B329" s="249"/>
      <c r="C329" s="250"/>
      <c r="D329" s="65"/>
      <c r="E329" s="65"/>
      <c r="F329" s="65"/>
      <c r="G329" s="65"/>
      <c r="H329" s="65"/>
      <c r="I329" s="65"/>
      <c r="J329" s="65"/>
      <c r="K329" s="65"/>
      <c r="L329" s="65"/>
      <c r="M329" s="65"/>
      <c r="N329" s="65"/>
      <c r="O329" s="249"/>
      <c r="P329" s="154"/>
      <c r="Q329" s="154"/>
      <c r="R329" s="154"/>
      <c r="S329" s="154"/>
      <c r="T329" s="154"/>
      <c r="U329" s="154"/>
      <c r="V329" s="154"/>
      <c r="W329" s="154"/>
      <c r="X329" s="154"/>
      <c r="Y329" s="154"/>
      <c r="Z329" s="154"/>
    </row>
    <row r="330" spans="1:26" s="141" customFormat="1">
      <c r="A330" s="65"/>
      <c r="B330" s="249"/>
      <c r="C330" s="250"/>
      <c r="D330" s="65"/>
      <c r="E330" s="65"/>
      <c r="F330" s="65"/>
      <c r="G330" s="65"/>
      <c r="H330" s="65"/>
      <c r="I330" s="65"/>
      <c r="J330" s="65"/>
      <c r="K330" s="65"/>
      <c r="L330" s="65"/>
      <c r="M330" s="65"/>
      <c r="N330" s="65"/>
      <c r="O330" s="249"/>
      <c r="P330" s="154"/>
      <c r="Q330" s="154"/>
      <c r="R330" s="154"/>
      <c r="S330" s="154"/>
      <c r="T330" s="154"/>
      <c r="U330" s="154"/>
      <c r="V330" s="154"/>
      <c r="W330" s="154"/>
      <c r="X330" s="154"/>
      <c r="Y330" s="154"/>
      <c r="Z330" s="154"/>
    </row>
    <row r="331" spans="1:26" s="141" customFormat="1">
      <c r="A331" s="65"/>
      <c r="B331" s="249"/>
      <c r="C331" s="250"/>
      <c r="D331" s="65"/>
      <c r="E331" s="65"/>
      <c r="F331" s="65"/>
      <c r="G331" s="65"/>
      <c r="H331" s="65"/>
      <c r="I331" s="65"/>
      <c r="J331" s="65"/>
      <c r="K331" s="65"/>
      <c r="L331" s="65"/>
      <c r="M331" s="65"/>
      <c r="N331" s="65"/>
      <c r="O331" s="249"/>
      <c r="P331" s="154"/>
      <c r="Q331" s="154"/>
      <c r="R331" s="154"/>
      <c r="S331" s="154"/>
      <c r="T331" s="154"/>
      <c r="U331" s="154"/>
      <c r="V331" s="154"/>
      <c r="W331" s="154"/>
      <c r="X331" s="154"/>
      <c r="Y331" s="154"/>
      <c r="Z331" s="154"/>
    </row>
    <row r="332" spans="1:26" s="141" customFormat="1">
      <c r="A332" s="65"/>
      <c r="B332" s="249"/>
      <c r="C332" s="250"/>
      <c r="D332" s="65"/>
      <c r="E332" s="65"/>
      <c r="F332" s="65"/>
      <c r="G332" s="65"/>
      <c r="H332" s="65"/>
      <c r="I332" s="65"/>
      <c r="J332" s="65"/>
      <c r="K332" s="65"/>
      <c r="L332" s="65"/>
      <c r="M332" s="65"/>
      <c r="N332" s="65"/>
      <c r="O332" s="249"/>
      <c r="P332" s="154"/>
      <c r="Q332" s="154"/>
      <c r="R332" s="154"/>
      <c r="S332" s="154"/>
      <c r="T332" s="154"/>
      <c r="U332" s="154"/>
      <c r="V332" s="154"/>
      <c r="W332" s="154"/>
      <c r="X332" s="154"/>
      <c r="Y332" s="154"/>
      <c r="Z332" s="154"/>
    </row>
    <row r="333" spans="1:26" s="141" customFormat="1">
      <c r="A333" s="65"/>
      <c r="B333" s="249"/>
      <c r="C333" s="250"/>
      <c r="D333" s="65"/>
      <c r="E333" s="65"/>
      <c r="F333" s="65"/>
      <c r="G333" s="65"/>
      <c r="H333" s="65"/>
      <c r="I333" s="65"/>
      <c r="J333" s="65"/>
      <c r="K333" s="65"/>
      <c r="L333" s="65"/>
      <c r="M333" s="65"/>
      <c r="N333" s="65"/>
      <c r="O333" s="249"/>
      <c r="P333" s="154"/>
      <c r="Q333" s="154"/>
      <c r="R333" s="154"/>
      <c r="S333" s="154"/>
      <c r="T333" s="154"/>
      <c r="U333" s="154"/>
      <c r="V333" s="154"/>
      <c r="W333" s="154"/>
      <c r="X333" s="154"/>
      <c r="Y333" s="154"/>
      <c r="Z333" s="154"/>
    </row>
    <row r="334" spans="1:26" s="141" customFormat="1">
      <c r="A334" s="65"/>
      <c r="B334" s="249"/>
      <c r="C334" s="250"/>
      <c r="D334" s="65"/>
      <c r="E334" s="65"/>
      <c r="F334" s="65"/>
      <c r="G334" s="65"/>
      <c r="H334" s="65"/>
      <c r="I334" s="65"/>
      <c r="J334" s="65"/>
      <c r="K334" s="65"/>
      <c r="L334" s="65"/>
      <c r="M334" s="65"/>
      <c r="N334" s="65"/>
      <c r="O334" s="249"/>
      <c r="P334" s="154"/>
      <c r="Q334" s="154"/>
      <c r="R334" s="154"/>
      <c r="S334" s="154"/>
      <c r="T334" s="154"/>
      <c r="U334" s="154"/>
      <c r="V334" s="154"/>
      <c r="W334" s="154"/>
      <c r="X334" s="154"/>
      <c r="Y334" s="154"/>
      <c r="Z334" s="154"/>
    </row>
    <row r="335" spans="1:26" s="141" customFormat="1">
      <c r="A335" s="65"/>
      <c r="B335" s="249"/>
      <c r="C335" s="250"/>
      <c r="D335" s="65"/>
      <c r="E335" s="65"/>
      <c r="F335" s="65"/>
      <c r="G335" s="65"/>
      <c r="H335" s="65"/>
      <c r="I335" s="65"/>
      <c r="J335" s="65"/>
      <c r="K335" s="65"/>
      <c r="L335" s="65"/>
      <c r="M335" s="65"/>
      <c r="N335" s="65"/>
      <c r="O335" s="249"/>
      <c r="P335" s="154"/>
      <c r="Q335" s="154"/>
      <c r="R335" s="154"/>
      <c r="S335" s="154"/>
      <c r="T335" s="154"/>
      <c r="U335" s="154"/>
      <c r="V335" s="154"/>
      <c r="W335" s="154"/>
      <c r="X335" s="154"/>
      <c r="Y335" s="154"/>
      <c r="Z335" s="154"/>
    </row>
    <row r="336" spans="1:26" s="141" customFormat="1">
      <c r="A336" s="65"/>
      <c r="B336" s="249"/>
      <c r="C336" s="250"/>
      <c r="D336" s="65"/>
      <c r="E336" s="65"/>
      <c r="F336" s="65"/>
      <c r="G336" s="65"/>
      <c r="H336" s="65"/>
      <c r="I336" s="65"/>
      <c r="J336" s="65"/>
      <c r="K336" s="65"/>
      <c r="L336" s="65"/>
      <c r="M336" s="65"/>
      <c r="N336" s="65"/>
      <c r="O336" s="249"/>
      <c r="P336" s="154"/>
      <c r="Q336" s="154"/>
      <c r="R336" s="154"/>
      <c r="S336" s="154"/>
      <c r="T336" s="154"/>
      <c r="U336" s="154"/>
      <c r="V336" s="154"/>
      <c r="W336" s="154"/>
      <c r="X336" s="154"/>
      <c r="Y336" s="154"/>
      <c r="Z336" s="154"/>
    </row>
    <row r="337" spans="1:26" s="141" customFormat="1">
      <c r="A337" s="65"/>
      <c r="B337" s="249"/>
      <c r="C337" s="250"/>
      <c r="D337" s="65"/>
      <c r="E337" s="65"/>
      <c r="F337" s="65"/>
      <c r="G337" s="65"/>
      <c r="H337" s="65"/>
      <c r="I337" s="65"/>
      <c r="J337" s="65"/>
      <c r="K337" s="65"/>
      <c r="L337" s="65"/>
      <c r="M337" s="65"/>
      <c r="N337" s="65"/>
      <c r="O337" s="249"/>
      <c r="P337" s="154"/>
      <c r="Q337" s="154"/>
      <c r="R337" s="154"/>
      <c r="S337" s="154"/>
      <c r="T337" s="154"/>
      <c r="U337" s="154"/>
      <c r="V337" s="154"/>
      <c r="W337" s="154"/>
      <c r="X337" s="154"/>
      <c r="Y337" s="154"/>
      <c r="Z337" s="154"/>
    </row>
    <row r="338" spans="1:26" s="141" customFormat="1">
      <c r="A338" s="65"/>
      <c r="B338" s="249"/>
      <c r="C338" s="250"/>
      <c r="D338" s="65"/>
      <c r="E338" s="65"/>
      <c r="F338" s="65"/>
      <c r="G338" s="65"/>
      <c r="H338" s="65"/>
      <c r="I338" s="65"/>
      <c r="J338" s="65"/>
      <c r="K338" s="65"/>
      <c r="L338" s="65"/>
      <c r="M338" s="65"/>
      <c r="N338" s="65"/>
      <c r="O338" s="249"/>
      <c r="P338" s="154"/>
      <c r="Q338" s="154"/>
      <c r="R338" s="154"/>
      <c r="S338" s="154"/>
      <c r="T338" s="154"/>
      <c r="U338" s="154"/>
      <c r="V338" s="154"/>
      <c r="W338" s="154"/>
      <c r="X338" s="154"/>
      <c r="Y338" s="154"/>
      <c r="Z338" s="154"/>
    </row>
    <row r="339" spans="1:26" s="141" customFormat="1">
      <c r="A339" s="65"/>
      <c r="B339" s="249"/>
      <c r="C339" s="250"/>
      <c r="D339" s="65"/>
      <c r="E339" s="65"/>
      <c r="F339" s="65"/>
      <c r="G339" s="65"/>
      <c r="H339" s="65"/>
      <c r="I339" s="65"/>
      <c r="J339" s="65"/>
      <c r="K339" s="65"/>
      <c r="L339" s="65"/>
      <c r="M339" s="65"/>
      <c r="N339" s="65"/>
      <c r="O339" s="249"/>
      <c r="P339" s="154"/>
      <c r="Q339" s="154"/>
      <c r="R339" s="154"/>
      <c r="S339" s="154"/>
      <c r="T339" s="154"/>
      <c r="U339" s="154"/>
      <c r="V339" s="154"/>
      <c r="W339" s="154"/>
      <c r="X339" s="154"/>
      <c r="Y339" s="154"/>
      <c r="Z339" s="154"/>
    </row>
    <row r="340" spans="1:26" s="141" customFormat="1">
      <c r="A340" s="65"/>
      <c r="B340" s="249"/>
      <c r="C340" s="250"/>
      <c r="D340" s="65"/>
      <c r="E340" s="65"/>
      <c r="F340" s="65"/>
      <c r="G340" s="65"/>
      <c r="H340" s="65"/>
      <c r="I340" s="65"/>
      <c r="J340" s="65"/>
      <c r="K340" s="65"/>
      <c r="L340" s="65"/>
      <c r="M340" s="65"/>
      <c r="N340" s="65"/>
      <c r="O340" s="249"/>
      <c r="P340" s="154"/>
      <c r="Q340" s="154"/>
      <c r="R340" s="154"/>
      <c r="S340" s="154"/>
      <c r="T340" s="154"/>
      <c r="U340" s="154"/>
      <c r="V340" s="154"/>
      <c r="W340" s="154"/>
      <c r="X340" s="154"/>
      <c r="Y340" s="154"/>
      <c r="Z340" s="154"/>
    </row>
    <row r="341" spans="1:26" s="141" customFormat="1">
      <c r="A341" s="65"/>
      <c r="B341" s="249"/>
      <c r="C341" s="250"/>
      <c r="D341" s="65"/>
      <c r="E341" s="65"/>
      <c r="F341" s="65"/>
      <c r="G341" s="65"/>
      <c r="H341" s="65"/>
      <c r="I341" s="65"/>
      <c r="J341" s="65"/>
      <c r="K341" s="65"/>
      <c r="L341" s="65"/>
      <c r="M341" s="65"/>
      <c r="N341" s="65"/>
      <c r="O341" s="249"/>
      <c r="P341" s="154"/>
      <c r="Q341" s="154"/>
      <c r="R341" s="154"/>
      <c r="S341" s="154"/>
      <c r="T341" s="154"/>
      <c r="U341" s="154"/>
      <c r="V341" s="154"/>
      <c r="W341" s="154"/>
      <c r="X341" s="154"/>
      <c r="Y341" s="154"/>
      <c r="Z341" s="154"/>
    </row>
    <row r="342" spans="1:26" s="141" customFormat="1">
      <c r="A342" s="65"/>
      <c r="B342" s="249"/>
      <c r="C342" s="250"/>
      <c r="D342" s="65"/>
      <c r="E342" s="65"/>
      <c r="F342" s="65"/>
      <c r="G342" s="65"/>
      <c r="H342" s="65"/>
      <c r="I342" s="65"/>
      <c r="J342" s="65"/>
      <c r="K342" s="65"/>
      <c r="L342" s="65"/>
      <c r="M342" s="65"/>
      <c r="N342" s="65"/>
      <c r="O342" s="249"/>
      <c r="P342" s="154"/>
      <c r="Q342" s="154"/>
      <c r="R342" s="154"/>
      <c r="S342" s="154"/>
      <c r="T342" s="154"/>
      <c r="U342" s="154"/>
      <c r="V342" s="154"/>
      <c r="W342" s="154"/>
      <c r="X342" s="154"/>
      <c r="Y342" s="154"/>
      <c r="Z342" s="154"/>
    </row>
    <row r="343" spans="1:26" s="141" customFormat="1">
      <c r="A343" s="65"/>
      <c r="B343" s="249"/>
      <c r="C343" s="250"/>
      <c r="D343" s="65"/>
      <c r="E343" s="65"/>
      <c r="F343" s="65"/>
      <c r="G343" s="65"/>
      <c r="H343" s="65"/>
      <c r="I343" s="65"/>
      <c r="J343" s="65"/>
      <c r="K343" s="65"/>
      <c r="L343" s="65"/>
      <c r="M343" s="65"/>
      <c r="N343" s="65"/>
      <c r="O343" s="249"/>
      <c r="P343" s="154"/>
      <c r="Q343" s="154"/>
      <c r="R343" s="154"/>
      <c r="S343" s="154"/>
      <c r="T343" s="154"/>
      <c r="U343" s="154"/>
      <c r="V343" s="154"/>
      <c r="W343" s="154"/>
      <c r="X343" s="154"/>
      <c r="Y343" s="154"/>
      <c r="Z343" s="154"/>
    </row>
    <row r="344" spans="1:26" s="141" customFormat="1">
      <c r="A344" s="65"/>
      <c r="B344" s="249"/>
      <c r="C344" s="250"/>
      <c r="D344" s="65"/>
      <c r="E344" s="65"/>
      <c r="F344" s="65"/>
      <c r="G344" s="65"/>
      <c r="H344" s="65"/>
      <c r="I344" s="65"/>
      <c r="J344" s="65"/>
      <c r="K344" s="65"/>
      <c r="L344" s="65"/>
      <c r="M344" s="65"/>
      <c r="N344" s="65"/>
      <c r="O344" s="249"/>
      <c r="P344" s="154"/>
      <c r="Q344" s="154"/>
      <c r="R344" s="154"/>
      <c r="S344" s="154"/>
      <c r="T344" s="154"/>
      <c r="U344" s="154"/>
      <c r="V344" s="154"/>
      <c r="W344" s="154"/>
      <c r="X344" s="154"/>
      <c r="Y344" s="154"/>
      <c r="Z344" s="154"/>
    </row>
    <row r="345" spans="1:26" s="141" customFormat="1">
      <c r="A345" s="65"/>
      <c r="B345" s="249"/>
      <c r="C345" s="250"/>
      <c r="D345" s="65"/>
      <c r="E345" s="65"/>
      <c r="F345" s="65"/>
      <c r="G345" s="65"/>
      <c r="H345" s="65"/>
      <c r="I345" s="65"/>
      <c r="J345" s="65"/>
      <c r="K345" s="65"/>
      <c r="L345" s="65"/>
      <c r="M345" s="65"/>
      <c r="N345" s="65"/>
      <c r="O345" s="249"/>
      <c r="P345" s="154"/>
      <c r="Q345" s="154"/>
      <c r="R345" s="154"/>
      <c r="S345" s="154"/>
      <c r="T345" s="154"/>
      <c r="U345" s="154"/>
      <c r="V345" s="154"/>
      <c r="W345" s="154"/>
      <c r="X345" s="154"/>
      <c r="Y345" s="154"/>
      <c r="Z345" s="154"/>
    </row>
    <row r="346" spans="1:26" s="141" customFormat="1">
      <c r="A346" s="65"/>
      <c r="B346" s="249"/>
      <c r="C346" s="250"/>
      <c r="D346" s="65"/>
      <c r="E346" s="65"/>
      <c r="F346" s="65"/>
      <c r="G346" s="65"/>
      <c r="H346" s="65"/>
      <c r="I346" s="65"/>
      <c r="J346" s="65"/>
      <c r="K346" s="65"/>
      <c r="L346" s="65"/>
      <c r="M346" s="65"/>
      <c r="N346" s="65"/>
      <c r="O346" s="249"/>
      <c r="P346" s="154"/>
      <c r="Q346" s="154"/>
      <c r="R346" s="154"/>
      <c r="S346" s="154"/>
      <c r="T346" s="154"/>
      <c r="U346" s="154"/>
      <c r="V346" s="154"/>
      <c r="W346" s="154"/>
      <c r="X346" s="154"/>
      <c r="Y346" s="154"/>
      <c r="Z346" s="154"/>
    </row>
    <row r="347" spans="1:26" s="141" customFormat="1">
      <c r="A347" s="65"/>
      <c r="B347" s="249"/>
      <c r="C347" s="250"/>
      <c r="D347" s="65"/>
      <c r="E347" s="65"/>
      <c r="F347" s="65"/>
      <c r="G347" s="65"/>
      <c r="H347" s="65"/>
      <c r="I347" s="65"/>
      <c r="J347" s="65"/>
      <c r="K347" s="65"/>
      <c r="L347" s="65"/>
      <c r="M347" s="65"/>
      <c r="N347" s="65"/>
      <c r="O347" s="249"/>
      <c r="P347" s="154"/>
      <c r="Q347" s="154"/>
      <c r="R347" s="154"/>
      <c r="S347" s="154"/>
      <c r="T347" s="154"/>
      <c r="U347" s="154"/>
      <c r="V347" s="154"/>
      <c r="W347" s="154"/>
      <c r="X347" s="154"/>
      <c r="Y347" s="154"/>
      <c r="Z347" s="154"/>
    </row>
    <row r="348" spans="1:26" s="141" customFormat="1">
      <c r="A348" s="65"/>
      <c r="B348" s="249"/>
      <c r="C348" s="250"/>
      <c r="D348" s="65"/>
      <c r="E348" s="65"/>
      <c r="F348" s="65"/>
      <c r="G348" s="65"/>
      <c r="H348" s="65"/>
      <c r="I348" s="65"/>
      <c r="J348" s="65"/>
      <c r="K348" s="65"/>
      <c r="L348" s="65"/>
      <c r="M348" s="65"/>
      <c r="N348" s="65"/>
      <c r="O348" s="249"/>
      <c r="P348" s="154"/>
      <c r="Q348" s="154"/>
      <c r="R348" s="154"/>
      <c r="S348" s="154"/>
      <c r="T348" s="154"/>
      <c r="U348" s="154"/>
      <c r="V348" s="154"/>
      <c r="W348" s="154"/>
      <c r="X348" s="154"/>
      <c r="Y348" s="154"/>
      <c r="Z348" s="154"/>
    </row>
    <row r="349" spans="1:26" s="141" customFormat="1">
      <c r="A349" s="65"/>
      <c r="B349" s="249"/>
      <c r="C349" s="250"/>
      <c r="D349" s="65"/>
      <c r="E349" s="65"/>
      <c r="F349" s="65"/>
      <c r="G349" s="65"/>
      <c r="H349" s="65"/>
      <c r="I349" s="65"/>
      <c r="J349" s="65"/>
      <c r="K349" s="65"/>
      <c r="L349" s="65"/>
      <c r="M349" s="65"/>
      <c r="N349" s="65"/>
      <c r="O349" s="249"/>
      <c r="P349" s="154"/>
      <c r="Q349" s="154"/>
      <c r="R349" s="154"/>
      <c r="S349" s="154"/>
      <c r="T349" s="154"/>
      <c r="U349" s="154"/>
      <c r="V349" s="154"/>
      <c r="W349" s="154"/>
      <c r="X349" s="154"/>
      <c r="Y349" s="154"/>
      <c r="Z349" s="154"/>
    </row>
    <row r="350" spans="1:26" s="141" customFormat="1">
      <c r="A350" s="65"/>
      <c r="B350" s="249"/>
      <c r="C350" s="250"/>
      <c r="D350" s="65"/>
      <c r="E350" s="65"/>
      <c r="F350" s="65"/>
      <c r="G350" s="65"/>
      <c r="H350" s="65"/>
      <c r="I350" s="65"/>
      <c r="J350" s="65"/>
      <c r="K350" s="65"/>
      <c r="L350" s="65"/>
      <c r="M350" s="65"/>
      <c r="N350" s="65"/>
      <c r="O350" s="249"/>
      <c r="P350" s="154"/>
      <c r="Q350" s="154"/>
      <c r="R350" s="154"/>
      <c r="S350" s="154"/>
      <c r="T350" s="154"/>
      <c r="U350" s="154"/>
      <c r="V350" s="154"/>
      <c r="W350" s="154"/>
      <c r="X350" s="154"/>
      <c r="Y350" s="154"/>
      <c r="Z350" s="154"/>
    </row>
    <row r="351" spans="1:26" s="141" customFormat="1">
      <c r="A351" s="65"/>
      <c r="B351" s="249"/>
      <c r="C351" s="250"/>
      <c r="D351" s="65"/>
      <c r="E351" s="65"/>
      <c r="F351" s="65"/>
      <c r="G351" s="65"/>
      <c r="H351" s="65"/>
      <c r="I351" s="65"/>
      <c r="J351" s="65"/>
      <c r="K351" s="65"/>
      <c r="L351" s="65"/>
      <c r="M351" s="65"/>
      <c r="N351" s="65"/>
      <c r="O351" s="249"/>
      <c r="P351" s="154"/>
      <c r="Q351" s="154"/>
      <c r="R351" s="154"/>
      <c r="S351" s="154"/>
      <c r="T351" s="154"/>
      <c r="U351" s="154"/>
      <c r="V351" s="154"/>
      <c r="W351" s="154"/>
      <c r="X351" s="154"/>
      <c r="Y351" s="154"/>
      <c r="Z351" s="154"/>
    </row>
    <row r="352" spans="1:26" s="141" customFormat="1">
      <c r="A352" s="65"/>
      <c r="B352" s="249"/>
      <c r="C352" s="250"/>
      <c r="D352" s="65"/>
      <c r="E352" s="65"/>
      <c r="F352" s="65"/>
      <c r="G352" s="65"/>
      <c r="H352" s="65"/>
      <c r="I352" s="65"/>
      <c r="J352" s="65"/>
      <c r="K352" s="65"/>
      <c r="L352" s="65"/>
      <c r="M352" s="65"/>
      <c r="N352" s="65"/>
      <c r="O352" s="249"/>
      <c r="P352" s="154"/>
      <c r="Q352" s="154"/>
      <c r="R352" s="154"/>
      <c r="S352" s="154"/>
      <c r="T352" s="154"/>
      <c r="U352" s="154"/>
      <c r="V352" s="154"/>
      <c r="W352" s="154"/>
      <c r="X352" s="154"/>
      <c r="Y352" s="154"/>
      <c r="Z352" s="154"/>
    </row>
    <row r="353" spans="1:26" s="141" customFormat="1">
      <c r="A353" s="65"/>
      <c r="B353" s="249"/>
      <c r="C353" s="250"/>
      <c r="D353" s="65"/>
      <c r="E353" s="65"/>
      <c r="F353" s="65"/>
      <c r="G353" s="65"/>
      <c r="H353" s="65"/>
      <c r="I353" s="65"/>
      <c r="J353" s="65"/>
      <c r="K353" s="65"/>
      <c r="L353" s="65"/>
      <c r="M353" s="65"/>
      <c r="N353" s="65"/>
      <c r="O353" s="249"/>
      <c r="P353" s="154"/>
      <c r="Q353" s="154"/>
      <c r="R353" s="154"/>
      <c r="S353" s="154"/>
      <c r="T353" s="154"/>
      <c r="U353" s="154"/>
      <c r="V353" s="154"/>
      <c r="W353" s="154"/>
      <c r="X353" s="154"/>
      <c r="Y353" s="154"/>
      <c r="Z353" s="154"/>
    </row>
    <row r="354" spans="1:26" s="141" customFormat="1">
      <c r="A354" s="65"/>
      <c r="B354" s="249"/>
      <c r="C354" s="250"/>
      <c r="D354" s="65"/>
      <c r="E354" s="65"/>
      <c r="F354" s="65"/>
      <c r="G354" s="65"/>
      <c r="H354" s="65"/>
      <c r="I354" s="65"/>
      <c r="J354" s="65"/>
      <c r="K354" s="65"/>
      <c r="L354" s="65"/>
      <c r="M354" s="65"/>
      <c r="N354" s="65"/>
      <c r="O354" s="249"/>
      <c r="P354" s="154"/>
      <c r="Q354" s="154"/>
      <c r="R354" s="154"/>
      <c r="S354" s="154"/>
      <c r="T354" s="154"/>
      <c r="U354" s="154"/>
      <c r="V354" s="154"/>
      <c r="W354" s="154"/>
      <c r="X354" s="154"/>
      <c r="Y354" s="154"/>
      <c r="Z354" s="154"/>
    </row>
    <row r="355" spans="1:26" s="141" customFormat="1">
      <c r="A355" s="65"/>
      <c r="B355" s="249"/>
      <c r="C355" s="250"/>
      <c r="D355" s="65"/>
      <c r="E355" s="65"/>
      <c r="F355" s="65"/>
      <c r="G355" s="65"/>
      <c r="H355" s="65"/>
      <c r="I355" s="65"/>
      <c r="J355" s="65"/>
      <c r="K355" s="65"/>
      <c r="L355" s="65"/>
      <c r="M355" s="65"/>
      <c r="N355" s="65"/>
      <c r="O355" s="249"/>
      <c r="P355" s="154"/>
      <c r="Q355" s="154"/>
      <c r="R355" s="154"/>
      <c r="S355" s="154"/>
      <c r="T355" s="154"/>
      <c r="U355" s="154"/>
      <c r="V355" s="154"/>
      <c r="W355" s="154"/>
      <c r="X355" s="154"/>
      <c r="Y355" s="154"/>
      <c r="Z355" s="154"/>
    </row>
    <row r="356" spans="1:26" s="141" customFormat="1">
      <c r="A356" s="65"/>
      <c r="B356" s="249"/>
      <c r="C356" s="250"/>
      <c r="D356" s="65"/>
      <c r="E356" s="65"/>
      <c r="F356" s="65"/>
      <c r="G356" s="65"/>
      <c r="H356" s="65"/>
      <c r="I356" s="65"/>
      <c r="J356" s="65"/>
      <c r="K356" s="65"/>
      <c r="L356" s="65"/>
      <c r="M356" s="65"/>
      <c r="N356" s="65"/>
      <c r="O356" s="249"/>
      <c r="P356" s="154"/>
      <c r="Q356" s="154"/>
      <c r="R356" s="154"/>
      <c r="S356" s="154"/>
      <c r="T356" s="154"/>
      <c r="U356" s="154"/>
      <c r="V356" s="154"/>
      <c r="W356" s="154"/>
      <c r="X356" s="154"/>
      <c r="Y356" s="154"/>
      <c r="Z356" s="154"/>
    </row>
    <row r="357" spans="1:26" s="141" customFormat="1">
      <c r="A357" s="65"/>
      <c r="B357" s="249"/>
      <c r="C357" s="250"/>
      <c r="D357" s="65"/>
      <c r="E357" s="65"/>
      <c r="F357" s="65"/>
      <c r="G357" s="65"/>
      <c r="H357" s="65"/>
      <c r="I357" s="65"/>
      <c r="J357" s="65"/>
      <c r="K357" s="65"/>
      <c r="L357" s="65"/>
      <c r="M357" s="65"/>
      <c r="N357" s="65"/>
      <c r="O357" s="249"/>
      <c r="P357" s="154"/>
      <c r="Q357" s="154"/>
      <c r="R357" s="154"/>
      <c r="S357" s="154"/>
      <c r="T357" s="154"/>
      <c r="U357" s="154"/>
      <c r="V357" s="154"/>
      <c r="W357" s="154"/>
      <c r="X357" s="154"/>
      <c r="Y357" s="154"/>
      <c r="Z357" s="154"/>
    </row>
    <row r="358" spans="1:26" s="141" customFormat="1">
      <c r="A358" s="65"/>
      <c r="B358" s="249"/>
      <c r="C358" s="250"/>
      <c r="D358" s="65"/>
      <c r="E358" s="65"/>
      <c r="F358" s="65"/>
      <c r="G358" s="65"/>
      <c r="H358" s="65"/>
      <c r="I358" s="65"/>
      <c r="J358" s="65"/>
      <c r="K358" s="65"/>
      <c r="L358" s="65"/>
      <c r="M358" s="65"/>
      <c r="N358" s="65"/>
      <c r="O358" s="249"/>
      <c r="P358" s="154"/>
      <c r="Q358" s="154"/>
      <c r="R358" s="154"/>
      <c r="S358" s="154"/>
      <c r="T358" s="154"/>
      <c r="U358" s="154"/>
      <c r="V358" s="154"/>
      <c r="W358" s="154"/>
      <c r="X358" s="154"/>
      <c r="Y358" s="154"/>
      <c r="Z358" s="154"/>
    </row>
    <row r="359" spans="1:26" s="141" customFormat="1">
      <c r="A359" s="65"/>
      <c r="B359" s="249"/>
      <c r="C359" s="250"/>
      <c r="D359" s="65"/>
      <c r="E359" s="65"/>
      <c r="F359" s="65"/>
      <c r="G359" s="65"/>
      <c r="H359" s="65"/>
      <c r="I359" s="65"/>
      <c r="J359" s="65"/>
      <c r="K359" s="65"/>
      <c r="L359" s="65"/>
      <c r="M359" s="65"/>
      <c r="N359" s="65"/>
      <c r="O359" s="249"/>
      <c r="P359" s="154"/>
      <c r="Q359" s="154"/>
      <c r="R359" s="154"/>
      <c r="S359" s="154"/>
      <c r="T359" s="154"/>
      <c r="U359" s="154"/>
      <c r="V359" s="154"/>
      <c r="W359" s="154"/>
      <c r="X359" s="154"/>
      <c r="Y359" s="154"/>
      <c r="Z359" s="154"/>
    </row>
    <row r="360" spans="1:26" s="141" customFormat="1">
      <c r="A360" s="65"/>
      <c r="B360" s="249"/>
      <c r="C360" s="250"/>
      <c r="D360" s="65"/>
      <c r="E360" s="65"/>
      <c r="F360" s="65"/>
      <c r="G360" s="65"/>
      <c r="H360" s="65"/>
      <c r="I360" s="65"/>
      <c r="J360" s="65"/>
      <c r="K360" s="65"/>
      <c r="L360" s="65"/>
      <c r="M360" s="65"/>
      <c r="N360" s="65"/>
      <c r="O360" s="249"/>
      <c r="P360" s="154"/>
      <c r="Q360" s="154"/>
      <c r="R360" s="154"/>
      <c r="S360" s="154"/>
      <c r="T360" s="154"/>
      <c r="U360" s="154"/>
      <c r="V360" s="154"/>
      <c r="W360" s="154"/>
      <c r="X360" s="154"/>
      <c r="Y360" s="154"/>
      <c r="Z360" s="154"/>
    </row>
    <row r="361" spans="1:26" s="141" customFormat="1">
      <c r="A361" s="65"/>
      <c r="B361" s="249"/>
      <c r="C361" s="250"/>
      <c r="D361" s="65"/>
      <c r="E361" s="65"/>
      <c r="F361" s="65"/>
      <c r="G361" s="65"/>
      <c r="H361" s="65"/>
      <c r="I361" s="65"/>
      <c r="J361" s="65"/>
      <c r="K361" s="65"/>
      <c r="L361" s="65"/>
      <c r="M361" s="65"/>
      <c r="N361" s="65"/>
      <c r="O361" s="249"/>
      <c r="P361" s="154"/>
      <c r="Q361" s="154"/>
      <c r="R361" s="154"/>
      <c r="S361" s="154"/>
      <c r="T361" s="154"/>
      <c r="U361" s="154"/>
      <c r="V361" s="154"/>
      <c r="W361" s="154"/>
      <c r="X361" s="154"/>
      <c r="Y361" s="154"/>
      <c r="Z361" s="154"/>
    </row>
    <row r="362" spans="1:26" s="141" customFormat="1">
      <c r="A362" s="65"/>
      <c r="B362" s="249"/>
      <c r="C362" s="250"/>
      <c r="D362" s="65"/>
      <c r="E362" s="65"/>
      <c r="F362" s="65"/>
      <c r="G362" s="65"/>
      <c r="H362" s="65"/>
      <c r="I362" s="65"/>
      <c r="J362" s="65"/>
      <c r="K362" s="65"/>
      <c r="L362" s="65"/>
      <c r="M362" s="65"/>
      <c r="N362" s="65"/>
      <c r="O362" s="249"/>
      <c r="P362" s="154"/>
      <c r="Q362" s="154"/>
      <c r="R362" s="154"/>
      <c r="S362" s="154"/>
      <c r="T362" s="154"/>
      <c r="U362" s="154"/>
      <c r="V362" s="154"/>
      <c r="W362" s="154"/>
      <c r="X362" s="154"/>
      <c r="Y362" s="154"/>
      <c r="Z362" s="154"/>
    </row>
    <row r="363" spans="1:26" s="141" customFormat="1">
      <c r="A363" s="65"/>
      <c r="B363" s="249"/>
      <c r="C363" s="250"/>
      <c r="D363" s="65"/>
      <c r="E363" s="65"/>
      <c r="F363" s="65"/>
      <c r="G363" s="65"/>
      <c r="H363" s="65"/>
      <c r="I363" s="65"/>
      <c r="J363" s="65"/>
      <c r="K363" s="65"/>
      <c r="L363" s="65"/>
      <c r="M363" s="65"/>
      <c r="N363" s="65"/>
      <c r="O363" s="249"/>
      <c r="P363" s="154"/>
      <c r="Q363" s="154"/>
      <c r="R363" s="154"/>
      <c r="S363" s="154"/>
      <c r="T363" s="154"/>
      <c r="U363" s="154"/>
      <c r="V363" s="154"/>
      <c r="W363" s="154"/>
      <c r="X363" s="154"/>
      <c r="Y363" s="154"/>
      <c r="Z363" s="154"/>
    </row>
    <row r="364" spans="1:26" s="141" customFormat="1">
      <c r="A364" s="65"/>
      <c r="B364" s="249"/>
      <c r="C364" s="250"/>
      <c r="D364" s="65"/>
      <c r="E364" s="65"/>
      <c r="F364" s="65"/>
      <c r="G364" s="65"/>
      <c r="H364" s="65"/>
      <c r="I364" s="65"/>
      <c r="J364" s="65"/>
      <c r="K364" s="65"/>
      <c r="L364" s="65"/>
      <c r="M364" s="65"/>
      <c r="N364" s="65"/>
      <c r="O364" s="249"/>
      <c r="P364" s="154"/>
      <c r="Q364" s="154"/>
      <c r="R364" s="154"/>
      <c r="S364" s="154"/>
      <c r="T364" s="154"/>
      <c r="U364" s="154"/>
      <c r="V364" s="154"/>
      <c r="W364" s="154"/>
      <c r="X364" s="154"/>
      <c r="Y364" s="154"/>
      <c r="Z364" s="154"/>
    </row>
    <row r="365" spans="1:26" s="141" customFormat="1">
      <c r="A365" s="65"/>
      <c r="B365" s="249"/>
      <c r="C365" s="250"/>
      <c r="D365" s="65"/>
      <c r="E365" s="65"/>
      <c r="F365" s="65"/>
      <c r="G365" s="65"/>
      <c r="H365" s="65"/>
      <c r="I365" s="65"/>
      <c r="J365" s="65"/>
      <c r="K365" s="65"/>
      <c r="L365" s="65"/>
      <c r="M365" s="65"/>
      <c r="N365" s="65"/>
      <c r="O365" s="249"/>
      <c r="P365" s="154"/>
      <c r="Q365" s="154"/>
      <c r="R365" s="154"/>
      <c r="S365" s="154"/>
      <c r="T365" s="154"/>
      <c r="U365" s="154"/>
      <c r="V365" s="154"/>
      <c r="W365" s="154"/>
      <c r="X365" s="154"/>
      <c r="Y365" s="154"/>
      <c r="Z365" s="154"/>
    </row>
    <row r="366" spans="1:26" s="141" customFormat="1">
      <c r="A366" s="65"/>
      <c r="B366" s="249"/>
      <c r="C366" s="250"/>
      <c r="D366" s="65"/>
      <c r="E366" s="65"/>
      <c r="F366" s="65"/>
      <c r="G366" s="65"/>
      <c r="H366" s="65"/>
      <c r="I366" s="65"/>
      <c r="J366" s="65"/>
      <c r="K366" s="65"/>
      <c r="L366" s="65"/>
      <c r="M366" s="65"/>
      <c r="N366" s="65"/>
      <c r="O366" s="249"/>
      <c r="P366" s="154"/>
      <c r="Q366" s="154"/>
      <c r="R366" s="154"/>
      <c r="S366" s="154"/>
      <c r="T366" s="154"/>
      <c r="U366" s="154"/>
      <c r="V366" s="154"/>
      <c r="W366" s="154"/>
      <c r="X366" s="154"/>
      <c r="Y366" s="154"/>
      <c r="Z366" s="154"/>
    </row>
    <row r="367" spans="1:26" s="141" customFormat="1">
      <c r="A367" s="65"/>
      <c r="B367" s="249"/>
      <c r="C367" s="250"/>
      <c r="D367" s="65"/>
      <c r="E367" s="65"/>
      <c r="F367" s="65"/>
      <c r="G367" s="65"/>
      <c r="H367" s="65"/>
      <c r="I367" s="65"/>
      <c r="J367" s="65"/>
      <c r="K367" s="65"/>
      <c r="L367" s="65"/>
      <c r="M367" s="65"/>
      <c r="N367" s="65"/>
      <c r="O367" s="249"/>
      <c r="P367" s="154"/>
      <c r="Q367" s="154"/>
      <c r="R367" s="154"/>
      <c r="S367" s="154"/>
      <c r="T367" s="154"/>
      <c r="U367" s="154"/>
      <c r="V367" s="154"/>
      <c r="W367" s="154"/>
      <c r="X367" s="154"/>
      <c r="Y367" s="154"/>
      <c r="Z367" s="154"/>
    </row>
    <row r="368" spans="1:26" s="141" customFormat="1">
      <c r="A368" s="65"/>
      <c r="B368" s="249"/>
      <c r="C368" s="250"/>
      <c r="D368" s="65"/>
      <c r="E368" s="65"/>
      <c r="F368" s="65"/>
      <c r="G368" s="65"/>
      <c r="H368" s="65"/>
      <c r="I368" s="65"/>
      <c r="J368" s="65"/>
      <c r="K368" s="65"/>
      <c r="L368" s="65"/>
      <c r="M368" s="65"/>
      <c r="N368" s="65"/>
      <c r="O368" s="249"/>
      <c r="P368" s="154"/>
      <c r="Q368" s="154"/>
      <c r="R368" s="154"/>
      <c r="S368" s="154"/>
      <c r="T368" s="154"/>
      <c r="U368" s="154"/>
      <c r="V368" s="154"/>
      <c r="W368" s="154"/>
      <c r="X368" s="154"/>
      <c r="Y368" s="154"/>
      <c r="Z368" s="154"/>
    </row>
    <row r="369" spans="1:26" s="141" customFormat="1">
      <c r="A369" s="65"/>
      <c r="B369" s="249"/>
      <c r="C369" s="250"/>
      <c r="D369" s="65"/>
      <c r="E369" s="65"/>
      <c r="F369" s="65"/>
      <c r="G369" s="65"/>
      <c r="H369" s="65"/>
      <c r="I369" s="65"/>
      <c r="J369" s="65"/>
      <c r="K369" s="65"/>
      <c r="L369" s="65"/>
      <c r="M369" s="65"/>
      <c r="N369" s="65"/>
      <c r="O369" s="249"/>
      <c r="P369" s="154"/>
      <c r="Q369" s="154"/>
      <c r="R369" s="154"/>
      <c r="S369" s="154"/>
      <c r="T369" s="154"/>
      <c r="U369" s="154"/>
      <c r="V369" s="154"/>
      <c r="W369" s="154"/>
      <c r="X369" s="154"/>
      <c r="Y369" s="154"/>
      <c r="Z369" s="154"/>
    </row>
    <row r="370" spans="1:26" s="141" customFormat="1">
      <c r="A370" s="65"/>
      <c r="B370" s="249"/>
      <c r="C370" s="250"/>
      <c r="D370" s="65"/>
      <c r="E370" s="65"/>
      <c r="F370" s="65"/>
      <c r="G370" s="65"/>
      <c r="H370" s="65"/>
      <c r="I370" s="65"/>
      <c r="J370" s="65"/>
      <c r="K370" s="65"/>
      <c r="L370" s="65"/>
      <c r="M370" s="65"/>
      <c r="N370" s="65"/>
      <c r="O370" s="249"/>
      <c r="P370" s="154"/>
      <c r="Q370" s="154"/>
      <c r="R370" s="154"/>
      <c r="S370" s="154"/>
      <c r="T370" s="154"/>
      <c r="U370" s="154"/>
      <c r="V370" s="154"/>
      <c r="W370" s="154"/>
      <c r="X370" s="154"/>
      <c r="Y370" s="154"/>
      <c r="Z370" s="154"/>
    </row>
    <row r="371" spans="1:26" s="141" customFormat="1">
      <c r="A371" s="65"/>
      <c r="B371" s="249"/>
      <c r="C371" s="250"/>
      <c r="D371" s="65"/>
      <c r="E371" s="65"/>
      <c r="F371" s="65"/>
      <c r="G371" s="65"/>
      <c r="H371" s="65"/>
      <c r="I371" s="65"/>
      <c r="J371" s="65"/>
      <c r="K371" s="65"/>
      <c r="L371" s="65"/>
      <c r="M371" s="65"/>
      <c r="N371" s="65"/>
      <c r="O371" s="249"/>
      <c r="P371" s="154"/>
      <c r="Q371" s="154"/>
      <c r="R371" s="154"/>
      <c r="S371" s="154"/>
      <c r="T371" s="154"/>
      <c r="U371" s="154"/>
      <c r="V371" s="154"/>
      <c r="W371" s="154"/>
      <c r="X371" s="154"/>
      <c r="Y371" s="154"/>
      <c r="Z371" s="154"/>
    </row>
    <row r="372" spans="1:26" s="141" customFormat="1">
      <c r="A372" s="65"/>
      <c r="B372" s="249"/>
      <c r="C372" s="250"/>
      <c r="D372" s="65"/>
      <c r="E372" s="65"/>
      <c r="F372" s="65"/>
      <c r="G372" s="65"/>
      <c r="H372" s="65"/>
      <c r="I372" s="65"/>
      <c r="J372" s="65"/>
      <c r="K372" s="65"/>
      <c r="L372" s="65"/>
      <c r="M372" s="65"/>
      <c r="N372" s="65"/>
      <c r="O372" s="249"/>
      <c r="P372" s="154"/>
      <c r="Q372" s="154"/>
      <c r="R372" s="154"/>
      <c r="S372" s="154"/>
      <c r="T372" s="154"/>
      <c r="U372" s="154"/>
      <c r="V372" s="154"/>
      <c r="W372" s="154"/>
      <c r="X372" s="154"/>
      <c r="Y372" s="154"/>
      <c r="Z372" s="154"/>
    </row>
    <row r="373" spans="1:26" s="141" customFormat="1">
      <c r="A373" s="65"/>
      <c r="B373" s="249"/>
      <c r="C373" s="250"/>
      <c r="D373" s="65"/>
      <c r="E373" s="65"/>
      <c r="F373" s="65"/>
      <c r="G373" s="65"/>
      <c r="H373" s="65"/>
      <c r="I373" s="65"/>
      <c r="J373" s="65"/>
      <c r="K373" s="65"/>
      <c r="L373" s="65"/>
      <c r="M373" s="65"/>
      <c r="N373" s="65"/>
      <c r="O373" s="249"/>
      <c r="P373" s="154"/>
      <c r="Q373" s="154"/>
      <c r="R373" s="154"/>
      <c r="S373" s="154"/>
      <c r="T373" s="154"/>
      <c r="U373" s="154"/>
      <c r="V373" s="154"/>
      <c r="W373" s="154"/>
      <c r="X373" s="154"/>
      <c r="Y373" s="154"/>
      <c r="Z373" s="154"/>
    </row>
    <row r="374" spans="1:26" s="141" customFormat="1">
      <c r="A374" s="65"/>
      <c r="B374" s="249"/>
      <c r="C374" s="250"/>
      <c r="D374" s="65"/>
      <c r="E374" s="65"/>
      <c r="F374" s="65"/>
      <c r="G374" s="65"/>
      <c r="H374" s="65"/>
      <c r="I374" s="65"/>
      <c r="J374" s="65"/>
      <c r="K374" s="65"/>
      <c r="L374" s="65"/>
      <c r="M374" s="65"/>
      <c r="N374" s="65"/>
      <c r="O374" s="249"/>
      <c r="P374" s="154"/>
      <c r="Q374" s="154"/>
      <c r="R374" s="154"/>
      <c r="S374" s="154"/>
      <c r="T374" s="154"/>
      <c r="U374" s="154"/>
      <c r="V374" s="154"/>
      <c r="W374" s="154"/>
      <c r="X374" s="154"/>
      <c r="Y374" s="154"/>
      <c r="Z374" s="154"/>
    </row>
    <row r="375" spans="1:26" s="141" customFormat="1">
      <c r="A375" s="65"/>
      <c r="B375" s="249"/>
      <c r="C375" s="250"/>
      <c r="D375" s="65"/>
      <c r="E375" s="65"/>
      <c r="F375" s="65"/>
      <c r="G375" s="65"/>
      <c r="H375" s="65"/>
      <c r="I375" s="65"/>
      <c r="J375" s="65"/>
      <c r="K375" s="65"/>
      <c r="L375" s="65"/>
      <c r="M375" s="65"/>
      <c r="N375" s="65"/>
      <c r="O375" s="249"/>
      <c r="P375" s="154"/>
      <c r="Q375" s="154"/>
      <c r="R375" s="154"/>
      <c r="S375" s="154"/>
      <c r="T375" s="154"/>
      <c r="U375" s="154"/>
      <c r="V375" s="154"/>
      <c r="W375" s="154"/>
      <c r="X375" s="154"/>
      <c r="Y375" s="154"/>
      <c r="Z375" s="154"/>
    </row>
    <row r="376" spans="1:26" s="141" customFormat="1">
      <c r="A376" s="65"/>
      <c r="B376" s="249"/>
      <c r="C376" s="250"/>
      <c r="D376" s="65"/>
      <c r="E376" s="65"/>
      <c r="F376" s="65"/>
      <c r="G376" s="65"/>
      <c r="H376" s="65"/>
      <c r="I376" s="65"/>
      <c r="J376" s="65"/>
      <c r="K376" s="65"/>
      <c r="L376" s="65"/>
      <c r="M376" s="65"/>
      <c r="N376" s="65"/>
      <c r="O376" s="249"/>
      <c r="P376" s="154"/>
      <c r="Q376" s="154"/>
      <c r="R376" s="154"/>
      <c r="S376" s="154"/>
      <c r="T376" s="154"/>
      <c r="U376" s="154"/>
      <c r="V376" s="154"/>
      <c r="W376" s="154"/>
      <c r="X376" s="154"/>
      <c r="Y376" s="154"/>
      <c r="Z376" s="154"/>
    </row>
    <row r="377" spans="1:26" s="141" customFormat="1">
      <c r="A377" s="65"/>
      <c r="B377" s="249"/>
      <c r="C377" s="250"/>
      <c r="D377" s="65"/>
      <c r="E377" s="65"/>
      <c r="F377" s="65"/>
      <c r="G377" s="65"/>
      <c r="H377" s="65"/>
      <c r="I377" s="65"/>
      <c r="J377" s="65"/>
      <c r="K377" s="65"/>
      <c r="L377" s="65"/>
      <c r="M377" s="65"/>
      <c r="N377" s="65"/>
      <c r="O377" s="249"/>
      <c r="P377" s="154"/>
      <c r="Q377" s="154"/>
      <c r="R377" s="154"/>
      <c r="S377" s="154"/>
      <c r="T377" s="154"/>
      <c r="U377" s="154"/>
      <c r="V377" s="154"/>
      <c r="W377" s="154"/>
      <c r="X377" s="154"/>
      <c r="Y377" s="154"/>
      <c r="Z377" s="154"/>
    </row>
    <row r="378" spans="1:26" s="141" customFormat="1">
      <c r="A378" s="65"/>
      <c r="B378" s="249"/>
      <c r="C378" s="250"/>
      <c r="D378" s="65"/>
      <c r="E378" s="65"/>
      <c r="F378" s="65"/>
      <c r="G378" s="65"/>
      <c r="H378" s="65"/>
      <c r="I378" s="65"/>
      <c r="J378" s="65"/>
      <c r="K378" s="65"/>
      <c r="L378" s="65"/>
      <c r="M378" s="65"/>
      <c r="N378" s="65"/>
      <c r="O378" s="249"/>
      <c r="P378" s="154"/>
      <c r="Q378" s="154"/>
      <c r="R378" s="154"/>
      <c r="S378" s="154"/>
      <c r="T378" s="154"/>
      <c r="U378" s="154"/>
      <c r="V378" s="154"/>
      <c r="W378" s="154"/>
      <c r="X378" s="154"/>
      <c r="Y378" s="154"/>
      <c r="Z378" s="154"/>
    </row>
    <row r="379" spans="1:26" s="141" customFormat="1">
      <c r="A379" s="65"/>
      <c r="B379" s="249"/>
      <c r="C379" s="250"/>
      <c r="D379" s="65"/>
      <c r="E379" s="65"/>
      <c r="F379" s="65"/>
      <c r="G379" s="65"/>
      <c r="H379" s="65"/>
      <c r="I379" s="65"/>
      <c r="J379" s="65"/>
      <c r="K379" s="65"/>
      <c r="L379" s="65"/>
      <c r="M379" s="65"/>
      <c r="N379" s="65"/>
      <c r="O379" s="249"/>
      <c r="P379" s="154"/>
      <c r="Q379" s="154"/>
      <c r="R379" s="154"/>
      <c r="S379" s="154"/>
      <c r="T379" s="154"/>
      <c r="U379" s="154"/>
      <c r="V379" s="154"/>
      <c r="W379" s="154"/>
      <c r="X379" s="154"/>
      <c r="Y379" s="154"/>
      <c r="Z379" s="154"/>
    </row>
    <row r="380" spans="1:26" s="141" customFormat="1">
      <c r="A380" s="65"/>
      <c r="B380" s="249"/>
      <c r="C380" s="250"/>
      <c r="D380" s="65"/>
      <c r="E380" s="65"/>
      <c r="F380" s="65"/>
      <c r="G380" s="65"/>
      <c r="H380" s="65"/>
      <c r="I380" s="65"/>
      <c r="J380" s="65"/>
      <c r="K380" s="65"/>
      <c r="L380" s="65"/>
      <c r="M380" s="65"/>
      <c r="N380" s="65"/>
      <c r="O380" s="249"/>
      <c r="P380" s="154"/>
      <c r="Q380" s="154"/>
      <c r="R380" s="154"/>
      <c r="S380" s="154"/>
      <c r="T380" s="154"/>
      <c r="U380" s="154"/>
      <c r="V380" s="154"/>
      <c r="W380" s="154"/>
      <c r="X380" s="154"/>
      <c r="Y380" s="154"/>
      <c r="Z380" s="154"/>
    </row>
    <row r="381" spans="1:26" s="141" customFormat="1">
      <c r="A381" s="65"/>
      <c r="B381" s="249"/>
      <c r="C381" s="250"/>
      <c r="D381" s="65"/>
      <c r="E381" s="65"/>
      <c r="F381" s="65"/>
      <c r="G381" s="65"/>
      <c r="H381" s="65"/>
      <c r="I381" s="65"/>
      <c r="J381" s="65"/>
      <c r="K381" s="65"/>
      <c r="L381" s="65"/>
      <c r="M381" s="65"/>
      <c r="N381" s="65"/>
      <c r="O381" s="249"/>
      <c r="P381" s="154"/>
      <c r="Q381" s="154"/>
      <c r="R381" s="154"/>
      <c r="S381" s="154"/>
      <c r="T381" s="154"/>
      <c r="U381" s="154"/>
      <c r="V381" s="154"/>
      <c r="W381" s="154"/>
      <c r="X381" s="154"/>
      <c r="Y381" s="154"/>
      <c r="Z381" s="154"/>
    </row>
    <row r="382" spans="1:26" s="141" customFormat="1">
      <c r="A382" s="65"/>
      <c r="B382" s="249"/>
      <c r="C382" s="250"/>
      <c r="D382" s="65"/>
      <c r="E382" s="65"/>
      <c r="F382" s="65"/>
      <c r="G382" s="65"/>
      <c r="H382" s="65"/>
      <c r="I382" s="65"/>
      <c r="J382" s="65"/>
      <c r="K382" s="65"/>
      <c r="L382" s="65"/>
      <c r="M382" s="65"/>
      <c r="N382" s="65"/>
      <c r="O382" s="249"/>
      <c r="P382" s="154"/>
      <c r="Q382" s="154"/>
      <c r="R382" s="154"/>
      <c r="S382" s="154"/>
      <c r="T382" s="154"/>
      <c r="U382" s="154"/>
      <c r="V382" s="154"/>
      <c r="W382" s="154"/>
      <c r="X382" s="154"/>
      <c r="Y382" s="154"/>
      <c r="Z382" s="154"/>
    </row>
    <row r="383" spans="1:26" s="141" customFormat="1">
      <c r="A383" s="65"/>
      <c r="B383" s="249"/>
      <c r="C383" s="250"/>
      <c r="D383" s="65"/>
      <c r="E383" s="65"/>
      <c r="F383" s="65"/>
      <c r="G383" s="65"/>
      <c r="H383" s="65"/>
      <c r="I383" s="65"/>
      <c r="J383" s="65"/>
      <c r="K383" s="65"/>
      <c r="L383" s="65"/>
      <c r="M383" s="65"/>
      <c r="N383" s="65"/>
      <c r="O383" s="249"/>
      <c r="P383" s="154"/>
      <c r="Q383" s="154"/>
      <c r="R383" s="154"/>
      <c r="S383" s="154"/>
      <c r="T383" s="154"/>
      <c r="U383" s="154"/>
      <c r="V383" s="154"/>
      <c r="W383" s="154"/>
      <c r="X383" s="154"/>
      <c r="Y383" s="154"/>
      <c r="Z383" s="154"/>
    </row>
    <row r="384" spans="1:26" s="141" customFormat="1">
      <c r="A384" s="65"/>
      <c r="B384" s="249"/>
      <c r="C384" s="250"/>
      <c r="D384" s="65"/>
      <c r="E384" s="65"/>
      <c r="F384" s="65"/>
      <c r="G384" s="65"/>
      <c r="H384" s="65"/>
      <c r="I384" s="65"/>
      <c r="J384" s="65"/>
      <c r="K384" s="65"/>
      <c r="L384" s="65"/>
      <c r="M384" s="65"/>
      <c r="N384" s="65"/>
      <c r="O384" s="249"/>
      <c r="P384" s="154"/>
      <c r="Q384" s="154"/>
      <c r="R384" s="154"/>
      <c r="S384" s="154"/>
      <c r="T384" s="154"/>
      <c r="U384" s="154"/>
      <c r="V384" s="154"/>
      <c r="W384" s="154"/>
      <c r="X384" s="154"/>
      <c r="Y384" s="154"/>
      <c r="Z384" s="154"/>
    </row>
    <row r="385" spans="1:26" s="141" customFormat="1">
      <c r="A385" s="65"/>
      <c r="B385" s="249"/>
      <c r="C385" s="250"/>
      <c r="D385" s="65"/>
      <c r="E385" s="65"/>
      <c r="F385" s="65"/>
      <c r="G385" s="65"/>
      <c r="H385" s="65"/>
      <c r="I385" s="65"/>
      <c r="J385" s="65"/>
      <c r="K385" s="65"/>
      <c r="L385" s="65"/>
      <c r="M385" s="65"/>
      <c r="N385" s="65"/>
      <c r="O385" s="249"/>
      <c r="P385" s="154"/>
      <c r="Q385" s="154"/>
      <c r="R385" s="154"/>
      <c r="S385" s="154"/>
      <c r="T385" s="154"/>
      <c r="U385" s="154"/>
      <c r="V385" s="154"/>
      <c r="W385" s="154"/>
      <c r="X385" s="154"/>
      <c r="Y385" s="154"/>
      <c r="Z385" s="154"/>
    </row>
    <row r="386" spans="1:26" s="141" customFormat="1">
      <c r="A386" s="65"/>
      <c r="B386" s="249"/>
      <c r="C386" s="250"/>
      <c r="D386" s="65"/>
      <c r="E386" s="65"/>
      <c r="F386" s="65"/>
      <c r="G386" s="65"/>
      <c r="H386" s="65"/>
      <c r="I386" s="65"/>
      <c r="J386" s="65"/>
      <c r="K386" s="65"/>
      <c r="L386" s="65"/>
      <c r="M386" s="65"/>
      <c r="N386" s="65"/>
      <c r="O386" s="249"/>
      <c r="P386" s="154"/>
      <c r="Q386" s="154"/>
      <c r="R386" s="154"/>
      <c r="S386" s="154"/>
      <c r="T386" s="154"/>
      <c r="U386" s="154"/>
      <c r="V386" s="154"/>
      <c r="W386" s="154"/>
      <c r="X386" s="154"/>
      <c r="Y386" s="154"/>
      <c r="Z386" s="154"/>
    </row>
    <row r="387" spans="1:26" s="141" customFormat="1">
      <c r="A387" s="65"/>
      <c r="B387" s="249"/>
      <c r="C387" s="250"/>
      <c r="D387" s="65"/>
      <c r="E387" s="65"/>
      <c r="F387" s="65"/>
      <c r="G387" s="65"/>
      <c r="H387" s="65"/>
      <c r="I387" s="65"/>
      <c r="J387" s="65"/>
      <c r="K387" s="65"/>
      <c r="L387" s="65"/>
      <c r="M387" s="65"/>
      <c r="N387" s="65"/>
      <c r="O387" s="249"/>
      <c r="P387" s="154"/>
      <c r="Q387" s="154"/>
      <c r="R387" s="154"/>
      <c r="S387" s="154"/>
      <c r="T387" s="154"/>
      <c r="U387" s="154"/>
      <c r="V387" s="154"/>
      <c r="W387" s="154"/>
      <c r="X387" s="154"/>
      <c r="Y387" s="154"/>
      <c r="Z387" s="154"/>
    </row>
    <row r="388" spans="1:26" s="141" customFormat="1">
      <c r="A388" s="65"/>
      <c r="B388" s="249"/>
      <c r="C388" s="250"/>
      <c r="D388" s="65"/>
      <c r="E388" s="65"/>
      <c r="F388" s="65"/>
      <c r="G388" s="65"/>
      <c r="H388" s="65"/>
      <c r="I388" s="65"/>
      <c r="J388" s="65"/>
      <c r="K388" s="65"/>
      <c r="L388" s="65"/>
      <c r="M388" s="65"/>
      <c r="N388" s="65"/>
      <c r="O388" s="249"/>
      <c r="P388" s="154"/>
      <c r="Q388" s="154"/>
      <c r="R388" s="154"/>
      <c r="S388" s="154"/>
      <c r="T388" s="154"/>
      <c r="U388" s="154"/>
      <c r="V388" s="154"/>
      <c r="W388" s="154"/>
      <c r="X388" s="154"/>
      <c r="Y388" s="154"/>
      <c r="Z388" s="154"/>
    </row>
    <row r="389" spans="1:26" s="141" customFormat="1">
      <c r="A389" s="65"/>
      <c r="B389" s="249"/>
      <c r="C389" s="250"/>
      <c r="D389" s="65"/>
      <c r="E389" s="65"/>
      <c r="F389" s="65"/>
      <c r="G389" s="65"/>
      <c r="H389" s="65"/>
      <c r="I389" s="65"/>
      <c r="J389" s="65"/>
      <c r="K389" s="65"/>
      <c r="L389" s="65"/>
      <c r="M389" s="65"/>
      <c r="N389" s="65"/>
      <c r="O389" s="249"/>
      <c r="P389" s="154"/>
      <c r="Q389" s="154"/>
      <c r="R389" s="154"/>
      <c r="S389" s="154"/>
      <c r="T389" s="154"/>
      <c r="U389" s="154"/>
      <c r="V389" s="154"/>
      <c r="W389" s="154"/>
      <c r="X389" s="154"/>
      <c r="Y389" s="154"/>
      <c r="Z389" s="154"/>
    </row>
    <row r="390" spans="1:26" s="141" customFormat="1">
      <c r="A390" s="65"/>
      <c r="B390" s="249"/>
      <c r="C390" s="250"/>
      <c r="D390" s="65"/>
      <c r="E390" s="65"/>
      <c r="F390" s="65"/>
      <c r="G390" s="65"/>
      <c r="H390" s="65"/>
      <c r="I390" s="65"/>
      <c r="J390" s="65"/>
      <c r="K390" s="65"/>
      <c r="L390" s="65"/>
      <c r="M390" s="65"/>
      <c r="N390" s="65"/>
      <c r="O390" s="249"/>
      <c r="P390" s="154"/>
      <c r="Q390" s="154"/>
      <c r="R390" s="154"/>
      <c r="S390" s="154"/>
      <c r="T390" s="154"/>
      <c r="U390" s="154"/>
      <c r="V390" s="154"/>
      <c r="W390" s="154"/>
      <c r="X390" s="154"/>
      <c r="Y390" s="154"/>
      <c r="Z390" s="154"/>
    </row>
    <row r="391" spans="1:26" s="141" customFormat="1">
      <c r="A391" s="65"/>
      <c r="B391" s="249"/>
      <c r="C391" s="250"/>
      <c r="D391" s="65"/>
      <c r="E391" s="65"/>
      <c r="F391" s="65"/>
      <c r="G391" s="65"/>
      <c r="H391" s="65"/>
      <c r="I391" s="65"/>
      <c r="J391" s="65"/>
      <c r="K391" s="65"/>
      <c r="L391" s="65"/>
      <c r="M391" s="65"/>
      <c r="N391" s="65"/>
      <c r="O391" s="249"/>
      <c r="P391" s="154"/>
      <c r="Q391" s="154"/>
      <c r="R391" s="154"/>
      <c r="S391" s="154"/>
      <c r="T391" s="154"/>
      <c r="U391" s="154"/>
      <c r="V391" s="154"/>
      <c r="W391" s="154"/>
      <c r="X391" s="154"/>
      <c r="Y391" s="154"/>
      <c r="Z391" s="154"/>
    </row>
    <row r="392" spans="1:26" s="141" customFormat="1">
      <c r="A392" s="65"/>
      <c r="B392" s="249"/>
      <c r="C392" s="250"/>
      <c r="D392" s="65"/>
      <c r="E392" s="65"/>
      <c r="F392" s="65"/>
      <c r="G392" s="65"/>
      <c r="H392" s="65"/>
      <c r="I392" s="65"/>
      <c r="J392" s="65"/>
      <c r="K392" s="65"/>
      <c r="L392" s="65"/>
      <c r="M392" s="65"/>
      <c r="N392" s="65"/>
      <c r="O392" s="249"/>
      <c r="P392" s="154"/>
      <c r="Q392" s="154"/>
      <c r="R392" s="154"/>
      <c r="S392" s="154"/>
      <c r="T392" s="154"/>
      <c r="U392" s="154"/>
      <c r="V392" s="154"/>
      <c r="W392" s="154"/>
      <c r="X392" s="154"/>
      <c r="Y392" s="154"/>
      <c r="Z392" s="154"/>
    </row>
    <row r="393" spans="1:26" s="141" customFormat="1">
      <c r="A393" s="65"/>
      <c r="B393" s="249"/>
      <c r="C393" s="250"/>
      <c r="D393" s="65"/>
      <c r="E393" s="65"/>
      <c r="F393" s="65"/>
      <c r="G393" s="65"/>
      <c r="H393" s="65"/>
      <c r="I393" s="65"/>
      <c r="J393" s="65"/>
      <c r="K393" s="65"/>
      <c r="L393" s="65"/>
      <c r="M393" s="65"/>
      <c r="N393" s="65"/>
      <c r="O393" s="249"/>
      <c r="P393" s="154"/>
      <c r="Q393" s="154"/>
      <c r="R393" s="154"/>
      <c r="S393" s="154"/>
      <c r="T393" s="154"/>
      <c r="U393" s="154"/>
      <c r="V393" s="154"/>
      <c r="W393" s="154"/>
      <c r="X393" s="154"/>
      <c r="Y393" s="154"/>
      <c r="Z393" s="154"/>
    </row>
    <row r="394" spans="1:26" s="141" customFormat="1">
      <c r="A394" s="65"/>
      <c r="B394" s="249"/>
      <c r="C394" s="250"/>
      <c r="D394" s="65"/>
      <c r="E394" s="65"/>
      <c r="F394" s="65"/>
      <c r="G394" s="65"/>
      <c r="H394" s="65"/>
      <c r="I394" s="65"/>
      <c r="J394" s="65"/>
      <c r="K394" s="65"/>
      <c r="L394" s="65"/>
      <c r="M394" s="65"/>
      <c r="N394" s="65"/>
      <c r="O394" s="249"/>
      <c r="P394" s="154"/>
      <c r="Q394" s="154"/>
      <c r="R394" s="154"/>
      <c r="S394" s="154"/>
      <c r="T394" s="154"/>
      <c r="U394" s="154"/>
      <c r="V394" s="154"/>
      <c r="W394" s="154"/>
      <c r="X394" s="154"/>
      <c r="Y394" s="154"/>
      <c r="Z394" s="154"/>
    </row>
    <row r="395" spans="1:26" s="141" customFormat="1">
      <c r="A395" s="65"/>
      <c r="B395" s="249"/>
      <c r="C395" s="250"/>
      <c r="D395" s="65"/>
      <c r="E395" s="65"/>
      <c r="F395" s="65"/>
      <c r="G395" s="65"/>
      <c r="H395" s="65"/>
      <c r="I395" s="65"/>
      <c r="J395" s="65"/>
      <c r="K395" s="65"/>
      <c r="L395" s="65"/>
      <c r="M395" s="65"/>
      <c r="N395" s="65"/>
      <c r="O395" s="249"/>
      <c r="P395" s="154"/>
      <c r="Q395" s="154"/>
      <c r="R395" s="154"/>
      <c r="S395" s="154"/>
      <c r="T395" s="154"/>
      <c r="U395" s="154"/>
      <c r="V395" s="154"/>
      <c r="W395" s="154"/>
      <c r="X395" s="154"/>
      <c r="Y395" s="154"/>
      <c r="Z395" s="154"/>
    </row>
    <row r="396" spans="1:26" s="141" customFormat="1">
      <c r="A396" s="65"/>
      <c r="B396" s="249"/>
      <c r="C396" s="250"/>
      <c r="D396" s="65"/>
      <c r="E396" s="65"/>
      <c r="F396" s="65"/>
      <c r="G396" s="65"/>
      <c r="H396" s="65"/>
      <c r="I396" s="65"/>
      <c r="J396" s="65"/>
      <c r="K396" s="65"/>
      <c r="L396" s="65"/>
      <c r="M396" s="65"/>
      <c r="N396" s="65"/>
      <c r="O396" s="249"/>
      <c r="P396" s="154"/>
      <c r="Q396" s="154"/>
      <c r="R396" s="154"/>
      <c r="S396" s="154"/>
      <c r="T396" s="154"/>
      <c r="U396" s="154"/>
      <c r="V396" s="154"/>
      <c r="W396" s="154"/>
      <c r="X396" s="154"/>
      <c r="Y396" s="154"/>
      <c r="Z396" s="154"/>
    </row>
    <row r="397" spans="1:26" s="141" customFormat="1">
      <c r="A397" s="65"/>
      <c r="B397" s="249"/>
      <c r="C397" s="250"/>
      <c r="D397" s="65"/>
      <c r="E397" s="65"/>
      <c r="F397" s="65"/>
      <c r="G397" s="65"/>
      <c r="H397" s="65"/>
      <c r="I397" s="65"/>
      <c r="J397" s="65"/>
      <c r="K397" s="65"/>
      <c r="L397" s="65"/>
      <c r="M397" s="65"/>
      <c r="N397" s="65"/>
      <c r="O397" s="249"/>
      <c r="P397" s="154"/>
      <c r="Q397" s="154"/>
      <c r="R397" s="154"/>
      <c r="S397" s="154"/>
      <c r="T397" s="154"/>
      <c r="U397" s="154"/>
      <c r="V397" s="154"/>
      <c r="W397" s="154"/>
      <c r="X397" s="154"/>
      <c r="Y397" s="154"/>
      <c r="Z397" s="154"/>
    </row>
    <row r="398" spans="1:26" s="141" customFormat="1">
      <c r="A398" s="65"/>
      <c r="B398" s="249"/>
      <c r="C398" s="250"/>
      <c r="D398" s="65"/>
      <c r="E398" s="65"/>
      <c r="F398" s="65"/>
      <c r="G398" s="65"/>
      <c r="H398" s="65"/>
      <c r="I398" s="65"/>
      <c r="J398" s="65"/>
      <c r="K398" s="65"/>
      <c r="L398" s="65"/>
      <c r="M398" s="65"/>
      <c r="N398" s="65"/>
      <c r="O398" s="249"/>
      <c r="P398" s="154"/>
      <c r="Q398" s="154"/>
      <c r="R398" s="154"/>
      <c r="S398" s="154"/>
      <c r="T398" s="154"/>
      <c r="U398" s="154"/>
      <c r="V398" s="154"/>
      <c r="W398" s="154"/>
      <c r="X398" s="154"/>
      <c r="Y398" s="154"/>
      <c r="Z398" s="154"/>
    </row>
    <row r="399" spans="1:26" s="141" customFormat="1">
      <c r="A399" s="65"/>
      <c r="B399" s="249"/>
      <c r="C399" s="250"/>
      <c r="D399" s="65"/>
      <c r="E399" s="65"/>
      <c r="F399" s="65"/>
      <c r="G399" s="65"/>
      <c r="H399" s="65"/>
      <c r="I399" s="65"/>
      <c r="J399" s="65"/>
      <c r="K399" s="65"/>
      <c r="L399" s="65"/>
      <c r="M399" s="65"/>
      <c r="N399" s="65"/>
      <c r="O399" s="249"/>
      <c r="P399" s="154"/>
      <c r="Q399" s="154"/>
      <c r="R399" s="154"/>
      <c r="S399" s="154"/>
      <c r="T399" s="154"/>
      <c r="U399" s="154"/>
      <c r="V399" s="154"/>
      <c r="W399" s="154"/>
      <c r="X399" s="154"/>
      <c r="Y399" s="154"/>
      <c r="Z399" s="154"/>
    </row>
    <row r="400" spans="1:26" s="141" customFormat="1">
      <c r="A400" s="65"/>
      <c r="B400" s="249"/>
      <c r="C400" s="250"/>
      <c r="D400" s="65"/>
      <c r="E400" s="65"/>
      <c r="F400" s="65"/>
      <c r="G400" s="65"/>
      <c r="H400" s="65"/>
      <c r="I400" s="65"/>
      <c r="J400" s="65"/>
      <c r="K400" s="65"/>
      <c r="L400" s="65"/>
      <c r="M400" s="65"/>
      <c r="N400" s="65"/>
      <c r="O400" s="249"/>
      <c r="P400" s="154"/>
      <c r="Q400" s="154"/>
      <c r="R400" s="154"/>
      <c r="S400" s="154"/>
      <c r="T400" s="154"/>
      <c r="U400" s="154"/>
      <c r="V400" s="154"/>
      <c r="W400" s="154"/>
      <c r="X400" s="154"/>
      <c r="Y400" s="154"/>
      <c r="Z400" s="154"/>
    </row>
    <row r="401" spans="1:26" s="141" customFormat="1">
      <c r="A401" s="65"/>
      <c r="B401" s="249"/>
      <c r="C401" s="250"/>
      <c r="D401" s="65"/>
      <c r="E401" s="65"/>
      <c r="F401" s="65"/>
      <c r="G401" s="65"/>
      <c r="H401" s="65"/>
      <c r="I401" s="65"/>
      <c r="J401" s="65"/>
      <c r="K401" s="65"/>
      <c r="L401" s="65"/>
      <c r="M401" s="65"/>
      <c r="N401" s="65"/>
      <c r="O401" s="249"/>
      <c r="P401" s="154"/>
      <c r="Q401" s="154"/>
      <c r="R401" s="154"/>
      <c r="S401" s="154"/>
      <c r="T401" s="154"/>
      <c r="U401" s="154"/>
      <c r="V401" s="154"/>
      <c r="W401" s="154"/>
      <c r="X401" s="154"/>
      <c r="Y401" s="154"/>
      <c r="Z401" s="154"/>
    </row>
    <row r="402" spans="1:26" s="141" customFormat="1">
      <c r="A402" s="65"/>
      <c r="B402" s="249"/>
      <c r="C402" s="250"/>
      <c r="D402" s="65"/>
      <c r="E402" s="65"/>
      <c r="F402" s="65"/>
      <c r="G402" s="65"/>
      <c r="H402" s="65"/>
      <c r="I402" s="65"/>
      <c r="J402" s="65"/>
      <c r="K402" s="65"/>
      <c r="L402" s="65"/>
      <c r="M402" s="65"/>
      <c r="N402" s="65"/>
      <c r="O402" s="249"/>
      <c r="P402" s="154"/>
      <c r="Q402" s="154"/>
      <c r="R402" s="154"/>
      <c r="S402" s="154"/>
      <c r="T402" s="154"/>
      <c r="U402" s="154"/>
      <c r="V402" s="154"/>
      <c r="W402" s="154"/>
      <c r="X402" s="154"/>
      <c r="Y402" s="154"/>
      <c r="Z402" s="154"/>
    </row>
    <row r="403" spans="1:26" s="141" customFormat="1">
      <c r="A403" s="65"/>
      <c r="B403" s="249"/>
      <c r="C403" s="250"/>
      <c r="D403" s="65"/>
      <c r="E403" s="65"/>
      <c r="F403" s="65"/>
      <c r="G403" s="65"/>
      <c r="H403" s="65"/>
      <c r="I403" s="65"/>
      <c r="J403" s="65"/>
      <c r="K403" s="65"/>
      <c r="L403" s="65"/>
      <c r="M403" s="65"/>
      <c r="N403" s="65"/>
      <c r="O403" s="249"/>
      <c r="P403" s="154"/>
      <c r="Q403" s="154"/>
      <c r="R403" s="154"/>
      <c r="S403" s="154"/>
      <c r="T403" s="154"/>
      <c r="U403" s="154"/>
      <c r="V403" s="154"/>
      <c r="W403" s="154"/>
      <c r="X403" s="154"/>
      <c r="Y403" s="154"/>
      <c r="Z403" s="154"/>
    </row>
    <row r="404" spans="1:26" s="141" customFormat="1">
      <c r="A404" s="65"/>
      <c r="B404" s="249"/>
      <c r="C404" s="250"/>
      <c r="D404" s="65"/>
      <c r="E404" s="65"/>
      <c r="F404" s="65"/>
      <c r="G404" s="65"/>
      <c r="H404" s="65"/>
      <c r="I404" s="65"/>
      <c r="J404" s="65"/>
      <c r="K404" s="65"/>
      <c r="L404" s="65"/>
      <c r="M404" s="65"/>
      <c r="N404" s="65"/>
      <c r="O404" s="249"/>
      <c r="P404" s="154"/>
      <c r="Q404" s="154"/>
      <c r="R404" s="154"/>
      <c r="S404" s="154"/>
      <c r="T404" s="154"/>
      <c r="U404" s="154"/>
      <c r="V404" s="154"/>
      <c r="W404" s="154"/>
      <c r="X404" s="154"/>
      <c r="Y404" s="154"/>
      <c r="Z404" s="154"/>
    </row>
    <row r="405" spans="1:26" s="141" customFormat="1">
      <c r="A405" s="65"/>
      <c r="B405" s="249"/>
      <c r="C405" s="250"/>
      <c r="D405" s="65"/>
      <c r="E405" s="65"/>
      <c r="F405" s="65"/>
      <c r="G405" s="65"/>
      <c r="H405" s="65"/>
      <c r="I405" s="65"/>
      <c r="J405" s="65"/>
      <c r="K405" s="65"/>
      <c r="L405" s="65"/>
      <c r="M405" s="65"/>
      <c r="N405" s="65"/>
      <c r="O405" s="249"/>
      <c r="P405" s="154"/>
      <c r="Q405" s="154"/>
      <c r="R405" s="154"/>
      <c r="S405" s="154"/>
      <c r="T405" s="154"/>
      <c r="U405" s="154"/>
      <c r="V405" s="154"/>
      <c r="W405" s="154"/>
      <c r="X405" s="154"/>
      <c r="Y405" s="154"/>
      <c r="Z405" s="154"/>
    </row>
    <row r="406" spans="1:26" s="141" customFormat="1">
      <c r="A406" s="65"/>
      <c r="B406" s="249"/>
      <c r="C406" s="250"/>
      <c r="D406" s="65"/>
      <c r="E406" s="65"/>
      <c r="F406" s="65"/>
      <c r="G406" s="65"/>
      <c r="H406" s="65"/>
      <c r="I406" s="65"/>
      <c r="J406" s="65"/>
      <c r="K406" s="65"/>
      <c r="L406" s="65"/>
      <c r="M406" s="65"/>
      <c r="N406" s="65"/>
      <c r="O406" s="249"/>
      <c r="P406" s="154"/>
      <c r="Q406" s="154"/>
      <c r="R406" s="154"/>
      <c r="S406" s="154"/>
      <c r="T406" s="154"/>
      <c r="U406" s="154"/>
      <c r="V406" s="154"/>
      <c r="W406" s="154"/>
      <c r="X406" s="154"/>
      <c r="Y406" s="154"/>
      <c r="Z406" s="154"/>
    </row>
    <row r="407" spans="1:26" s="141" customFormat="1">
      <c r="A407" s="65"/>
      <c r="B407" s="249"/>
      <c r="C407" s="250"/>
      <c r="D407" s="65"/>
      <c r="E407" s="65"/>
      <c r="F407" s="65"/>
      <c r="G407" s="65"/>
      <c r="H407" s="65"/>
      <c r="I407" s="65"/>
      <c r="J407" s="65"/>
      <c r="K407" s="65"/>
      <c r="L407" s="65"/>
      <c r="M407" s="65"/>
      <c r="N407" s="65"/>
      <c r="O407" s="249"/>
      <c r="P407" s="154"/>
      <c r="Q407" s="154"/>
      <c r="R407" s="154"/>
      <c r="S407" s="154"/>
      <c r="T407" s="154"/>
      <c r="U407" s="154"/>
      <c r="V407" s="154"/>
      <c r="W407" s="154"/>
      <c r="X407" s="154"/>
      <c r="Y407" s="154"/>
      <c r="Z407" s="154"/>
    </row>
    <row r="408" spans="1:26" s="141" customFormat="1">
      <c r="A408" s="65"/>
      <c r="B408" s="249"/>
      <c r="C408" s="250"/>
      <c r="D408" s="65"/>
      <c r="E408" s="65"/>
      <c r="F408" s="65"/>
      <c r="G408" s="65"/>
      <c r="H408" s="65"/>
      <c r="I408" s="65"/>
      <c r="J408" s="65"/>
      <c r="K408" s="65"/>
      <c r="L408" s="65"/>
      <c r="M408" s="65"/>
      <c r="N408" s="65"/>
      <c r="O408" s="249"/>
      <c r="P408" s="154"/>
      <c r="Q408" s="154"/>
      <c r="R408" s="154"/>
      <c r="S408" s="154"/>
      <c r="T408" s="154"/>
      <c r="U408" s="154"/>
      <c r="V408" s="154"/>
      <c r="W408" s="154"/>
      <c r="X408" s="154"/>
      <c r="Y408" s="154"/>
      <c r="Z408" s="154"/>
    </row>
    <row r="409" spans="1:26" s="141" customFormat="1">
      <c r="A409" s="65"/>
      <c r="B409" s="249"/>
      <c r="C409" s="250"/>
      <c r="D409" s="65"/>
      <c r="E409" s="65"/>
      <c r="F409" s="65"/>
      <c r="G409" s="65"/>
      <c r="H409" s="65"/>
      <c r="I409" s="65"/>
      <c r="J409" s="65"/>
      <c r="K409" s="65"/>
      <c r="L409" s="65"/>
      <c r="M409" s="65"/>
      <c r="N409" s="65"/>
      <c r="O409" s="249"/>
      <c r="P409" s="154"/>
      <c r="Q409" s="154"/>
      <c r="R409" s="154"/>
      <c r="S409" s="154"/>
      <c r="T409" s="154"/>
      <c r="U409" s="154"/>
      <c r="V409" s="154"/>
      <c r="W409" s="154"/>
      <c r="X409" s="154"/>
      <c r="Y409" s="154"/>
      <c r="Z409" s="154"/>
    </row>
    <row r="410" spans="1:26" s="141" customFormat="1">
      <c r="A410" s="65"/>
      <c r="B410" s="249"/>
      <c r="C410" s="250"/>
      <c r="D410" s="65"/>
      <c r="E410" s="65"/>
      <c r="F410" s="65"/>
      <c r="G410" s="65"/>
      <c r="H410" s="65"/>
      <c r="I410" s="65"/>
      <c r="J410" s="65"/>
      <c r="K410" s="65"/>
      <c r="L410" s="65"/>
      <c r="M410" s="65"/>
      <c r="N410" s="65"/>
      <c r="O410" s="249"/>
      <c r="P410" s="154"/>
      <c r="Q410" s="154"/>
      <c r="R410" s="154"/>
      <c r="S410" s="154"/>
      <c r="T410" s="154"/>
      <c r="U410" s="154"/>
      <c r="V410" s="154"/>
      <c r="W410" s="154"/>
      <c r="X410" s="154"/>
      <c r="Y410" s="154"/>
      <c r="Z410" s="154"/>
    </row>
    <row r="411" spans="1:26" s="141" customFormat="1">
      <c r="A411" s="65"/>
      <c r="B411" s="249"/>
      <c r="C411" s="250"/>
      <c r="D411" s="65"/>
      <c r="E411" s="65"/>
      <c r="F411" s="65"/>
      <c r="G411" s="65"/>
      <c r="H411" s="65"/>
      <c r="I411" s="65"/>
      <c r="J411" s="65"/>
      <c r="K411" s="65"/>
      <c r="L411" s="65"/>
      <c r="M411" s="65"/>
      <c r="N411" s="65"/>
      <c r="O411" s="249"/>
      <c r="P411" s="154"/>
      <c r="Q411" s="154"/>
      <c r="R411" s="154"/>
      <c r="S411" s="154"/>
      <c r="T411" s="154"/>
      <c r="U411" s="154"/>
      <c r="V411" s="154"/>
      <c r="W411" s="154"/>
      <c r="X411" s="154"/>
      <c r="Y411" s="154"/>
      <c r="Z411" s="154"/>
    </row>
    <row r="412" spans="1:26" s="141" customFormat="1">
      <c r="A412" s="65"/>
      <c r="B412" s="249"/>
      <c r="C412" s="250"/>
      <c r="D412" s="65"/>
      <c r="E412" s="65"/>
      <c r="F412" s="65"/>
      <c r="G412" s="65"/>
      <c r="H412" s="65"/>
      <c r="I412" s="65"/>
      <c r="J412" s="65"/>
      <c r="K412" s="65"/>
      <c r="L412" s="65"/>
      <c r="M412" s="65"/>
      <c r="N412" s="65"/>
      <c r="O412" s="249"/>
      <c r="P412" s="154"/>
      <c r="Q412" s="154"/>
      <c r="R412" s="154"/>
      <c r="S412" s="154"/>
      <c r="T412" s="154"/>
      <c r="U412" s="154"/>
      <c r="V412" s="154"/>
      <c r="W412" s="154"/>
      <c r="X412" s="154"/>
      <c r="Y412" s="154"/>
      <c r="Z412" s="154"/>
    </row>
    <row r="413" spans="1:26" s="141" customFormat="1">
      <c r="A413" s="65"/>
      <c r="B413" s="249"/>
      <c r="C413" s="250"/>
      <c r="D413" s="65"/>
      <c r="E413" s="65"/>
      <c r="F413" s="65"/>
      <c r="G413" s="65"/>
      <c r="H413" s="65"/>
      <c r="I413" s="65"/>
      <c r="J413" s="65"/>
      <c r="K413" s="65"/>
      <c r="L413" s="65"/>
      <c r="M413" s="65"/>
      <c r="N413" s="65"/>
      <c r="O413" s="249"/>
      <c r="P413" s="154"/>
      <c r="Q413" s="154"/>
      <c r="R413" s="154"/>
      <c r="S413" s="154"/>
      <c r="T413" s="154"/>
      <c r="U413" s="154"/>
      <c r="V413" s="154"/>
      <c r="W413" s="154"/>
      <c r="X413" s="154"/>
      <c r="Y413" s="154"/>
      <c r="Z413" s="154"/>
    </row>
    <row r="414" spans="1:26" s="141" customFormat="1">
      <c r="A414" s="65"/>
      <c r="B414" s="249"/>
      <c r="C414" s="250"/>
      <c r="D414" s="65"/>
      <c r="E414" s="65"/>
      <c r="F414" s="65"/>
      <c r="G414" s="65"/>
      <c r="H414" s="65"/>
      <c r="I414" s="65"/>
      <c r="J414" s="65"/>
      <c r="K414" s="65"/>
      <c r="L414" s="65"/>
      <c r="M414" s="65"/>
      <c r="N414" s="65"/>
      <c r="O414" s="249"/>
      <c r="P414" s="154"/>
      <c r="Q414" s="154"/>
      <c r="R414" s="154"/>
      <c r="S414" s="154"/>
      <c r="T414" s="154"/>
      <c r="U414" s="154"/>
      <c r="V414" s="154"/>
      <c r="W414" s="154"/>
      <c r="X414" s="154"/>
      <c r="Y414" s="154"/>
      <c r="Z414" s="154"/>
    </row>
    <row r="415" spans="1:26" s="141" customFormat="1">
      <c r="A415" s="65"/>
      <c r="B415" s="249"/>
      <c r="C415" s="250"/>
      <c r="D415" s="65"/>
      <c r="E415" s="65"/>
      <c r="F415" s="65"/>
      <c r="G415" s="65"/>
      <c r="H415" s="65"/>
      <c r="I415" s="65"/>
      <c r="J415" s="65"/>
      <c r="K415" s="65"/>
      <c r="L415" s="65"/>
      <c r="M415" s="65"/>
      <c r="N415" s="65"/>
      <c r="O415" s="249"/>
      <c r="P415" s="154"/>
      <c r="Q415" s="154"/>
      <c r="R415" s="154"/>
      <c r="S415" s="154"/>
      <c r="T415" s="154"/>
      <c r="U415" s="154"/>
      <c r="V415" s="154"/>
      <c r="W415" s="154"/>
      <c r="X415" s="154"/>
      <c r="Y415" s="154"/>
      <c r="Z415" s="154"/>
    </row>
    <row r="416" spans="1:26" s="141" customFormat="1">
      <c r="A416" s="65"/>
      <c r="B416" s="249"/>
      <c r="C416" s="250"/>
      <c r="D416" s="65"/>
      <c r="E416" s="65"/>
      <c r="F416" s="65"/>
      <c r="G416" s="65"/>
      <c r="H416" s="65"/>
      <c r="I416" s="65"/>
      <c r="J416" s="65"/>
      <c r="K416" s="65"/>
      <c r="L416" s="65"/>
      <c r="M416" s="65"/>
      <c r="N416" s="65"/>
      <c r="O416" s="249"/>
      <c r="P416" s="154"/>
      <c r="Q416" s="154"/>
      <c r="R416" s="154"/>
      <c r="S416" s="154"/>
      <c r="T416" s="154"/>
      <c r="U416" s="154"/>
      <c r="V416" s="154"/>
      <c r="W416" s="154"/>
      <c r="X416" s="154"/>
      <c r="Y416" s="154"/>
      <c r="Z416" s="154"/>
    </row>
    <row r="417" spans="1:26" s="141" customFormat="1">
      <c r="A417" s="65"/>
      <c r="B417" s="249"/>
      <c r="C417" s="250"/>
      <c r="D417" s="65"/>
      <c r="E417" s="65"/>
      <c r="F417" s="65"/>
      <c r="G417" s="65"/>
      <c r="H417" s="65"/>
      <c r="I417" s="65"/>
      <c r="J417" s="65"/>
      <c r="K417" s="65"/>
      <c r="L417" s="65"/>
      <c r="M417" s="65"/>
      <c r="N417" s="65"/>
      <c r="O417" s="249"/>
      <c r="P417" s="154"/>
      <c r="Q417" s="154"/>
      <c r="R417" s="154"/>
      <c r="S417" s="154"/>
      <c r="T417" s="154"/>
      <c r="U417" s="154"/>
      <c r="V417" s="154"/>
      <c r="W417" s="154"/>
      <c r="X417" s="154"/>
      <c r="Y417" s="154"/>
      <c r="Z417" s="154"/>
    </row>
    <row r="418" spans="1:26" s="141" customFormat="1">
      <c r="A418" s="65"/>
      <c r="B418" s="249"/>
      <c r="C418" s="250"/>
      <c r="D418" s="65"/>
      <c r="E418" s="65"/>
      <c r="F418" s="65"/>
      <c r="G418" s="65"/>
      <c r="H418" s="65"/>
      <c r="I418" s="65"/>
      <c r="J418" s="65"/>
      <c r="K418" s="65"/>
      <c r="L418" s="65"/>
      <c r="M418" s="65"/>
      <c r="N418" s="65"/>
      <c r="O418" s="249"/>
      <c r="P418" s="154"/>
      <c r="Q418" s="154"/>
      <c r="R418" s="154"/>
      <c r="S418" s="154"/>
      <c r="T418" s="154"/>
      <c r="U418" s="154"/>
      <c r="V418" s="154"/>
      <c r="W418" s="154"/>
      <c r="X418" s="154"/>
      <c r="Y418" s="154"/>
      <c r="Z418" s="154"/>
    </row>
    <row r="419" spans="1:26" s="141" customFormat="1">
      <c r="A419" s="65"/>
      <c r="B419" s="249"/>
      <c r="C419" s="250"/>
      <c r="D419" s="65"/>
      <c r="E419" s="65"/>
      <c r="F419" s="65"/>
      <c r="G419" s="65"/>
      <c r="H419" s="65"/>
      <c r="I419" s="65"/>
      <c r="J419" s="65"/>
      <c r="K419" s="65"/>
      <c r="L419" s="65"/>
      <c r="M419" s="65"/>
      <c r="N419" s="65"/>
      <c r="O419" s="249"/>
      <c r="P419" s="154"/>
      <c r="Q419" s="154"/>
      <c r="R419" s="154"/>
      <c r="S419" s="154"/>
      <c r="T419" s="154"/>
      <c r="U419" s="154"/>
      <c r="V419" s="154"/>
      <c r="W419" s="154"/>
      <c r="X419" s="154"/>
      <c r="Y419" s="154"/>
      <c r="Z419" s="154"/>
    </row>
    <row r="420" spans="1:26" s="141" customFormat="1">
      <c r="A420" s="65"/>
      <c r="B420" s="249"/>
      <c r="C420" s="250"/>
      <c r="D420" s="65"/>
      <c r="E420" s="65"/>
      <c r="F420" s="65"/>
      <c r="G420" s="65"/>
      <c r="H420" s="65"/>
      <c r="I420" s="65"/>
      <c r="J420" s="65"/>
      <c r="K420" s="65"/>
      <c r="L420" s="65"/>
      <c r="M420" s="65"/>
      <c r="N420" s="65"/>
      <c r="O420" s="249"/>
      <c r="P420" s="154"/>
      <c r="Q420" s="154"/>
      <c r="R420" s="154"/>
      <c r="S420" s="154"/>
      <c r="T420" s="154"/>
      <c r="U420" s="154"/>
      <c r="V420" s="154"/>
      <c r="W420" s="154"/>
      <c r="X420" s="154"/>
      <c r="Y420" s="154"/>
      <c r="Z420" s="154"/>
    </row>
    <row r="421" spans="1:26" s="141" customFormat="1">
      <c r="A421" s="65"/>
      <c r="B421" s="249"/>
      <c r="C421" s="250"/>
      <c r="D421" s="65"/>
      <c r="E421" s="65"/>
      <c r="F421" s="65"/>
      <c r="G421" s="65"/>
      <c r="H421" s="65"/>
      <c r="I421" s="65"/>
      <c r="J421" s="65"/>
      <c r="K421" s="65"/>
      <c r="L421" s="65"/>
      <c r="M421" s="65"/>
      <c r="N421" s="65"/>
      <c r="O421" s="249"/>
      <c r="P421" s="154"/>
      <c r="Q421" s="154"/>
      <c r="R421" s="154"/>
      <c r="S421" s="154"/>
      <c r="T421" s="154"/>
      <c r="U421" s="154"/>
      <c r="V421" s="154"/>
      <c r="W421" s="154"/>
      <c r="X421" s="154"/>
      <c r="Y421" s="154"/>
      <c r="Z421" s="154"/>
    </row>
    <row r="422" spans="1:26" s="141" customFormat="1">
      <c r="A422" s="65"/>
      <c r="B422" s="249"/>
      <c r="C422" s="250"/>
      <c r="D422" s="65"/>
      <c r="E422" s="65"/>
      <c r="F422" s="65"/>
      <c r="G422" s="65"/>
      <c r="H422" s="65"/>
      <c r="I422" s="65"/>
      <c r="J422" s="65"/>
      <c r="K422" s="65"/>
      <c r="L422" s="65"/>
      <c r="M422" s="65"/>
      <c r="N422" s="65"/>
      <c r="O422" s="249"/>
      <c r="P422" s="154"/>
      <c r="Q422" s="154"/>
      <c r="R422" s="154"/>
      <c r="S422" s="154"/>
      <c r="T422" s="154"/>
      <c r="U422" s="154"/>
      <c r="V422" s="154"/>
      <c r="W422" s="154"/>
      <c r="X422" s="154"/>
      <c r="Y422" s="154"/>
      <c r="Z422" s="154"/>
    </row>
  </sheetData>
  <sheetProtection formatColumns="0" formatRows="0" deleteColumns="0" deleteRows="0"/>
  <autoFilter ref="A4:AH4"/>
  <dataValidations count="2">
    <dataValidation type="list" allowBlank="1" showInputMessage="1" showErrorMessage="1" sqref="B3">
      <formula1>mes</formula1>
    </dataValidation>
    <dataValidation type="list" allowBlank="1" showInputMessage="1" showErrorMessage="1" sqref="B2">
      <formula1>"BLOQ_SIIF,"</formula1>
    </dataValidation>
  </dataValidations>
  <pageMargins left="0.78740157480314998" right="0.78740157480314998" top="0.78740157480314998" bottom="0.78740157480314998" header="0.78740157480314998" footer="0.78740157480314998"/>
  <pageSetup paperSize="5"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26"/>
  <sheetViews>
    <sheetView showGridLines="0" workbookViewId="0">
      <selection activeCell="C5" sqref="C5"/>
    </sheetView>
  </sheetViews>
  <sheetFormatPr baseColWidth="10" defaultRowHeight="15"/>
  <cols>
    <col min="2" max="2" width="30.28515625" customWidth="1"/>
    <col min="3" max="3" width="14.28515625" bestFit="1" customWidth="1"/>
    <col min="7" max="7" width="37" customWidth="1"/>
    <col min="8" max="8" width="15.28515625" bestFit="1" customWidth="1"/>
    <col min="9" max="9" width="15.140625" bestFit="1" customWidth="1"/>
  </cols>
  <sheetData>
    <row r="1" spans="1:9" ht="24">
      <c r="A1" s="69" t="s">
        <v>88</v>
      </c>
      <c r="B1" s="69" t="s">
        <v>89</v>
      </c>
      <c r="C1" s="69" t="s">
        <v>90</v>
      </c>
      <c r="D1" s="69" t="s">
        <v>99</v>
      </c>
      <c r="E1" s="69" t="s">
        <v>100</v>
      </c>
      <c r="F1" s="69" t="s">
        <v>101</v>
      </c>
      <c r="G1" s="69" t="s">
        <v>102</v>
      </c>
      <c r="H1" s="77" t="s">
        <v>375</v>
      </c>
    </row>
    <row r="2" spans="1:9">
      <c r="A2" s="72"/>
      <c r="B2" s="73"/>
      <c r="C2" s="74"/>
      <c r="D2" s="65"/>
      <c r="E2" s="65"/>
      <c r="F2" s="72"/>
      <c r="G2" s="73"/>
      <c r="H2" s="75"/>
    </row>
    <row r="3" spans="1:9">
      <c r="A3" s="72"/>
      <c r="B3" s="73"/>
      <c r="C3" s="74"/>
      <c r="D3" s="65"/>
      <c r="E3" s="65"/>
      <c r="F3" s="72"/>
      <c r="G3" s="73"/>
      <c r="H3" s="75"/>
    </row>
    <row r="4" spans="1:9">
      <c r="A4" s="72"/>
      <c r="B4" s="73"/>
      <c r="C4" s="74"/>
      <c r="D4" s="65"/>
      <c r="E4" s="65"/>
      <c r="F4" s="72"/>
      <c r="G4" s="73"/>
      <c r="H4" s="75"/>
    </row>
    <row r="5" spans="1:9">
      <c r="A5" s="72"/>
      <c r="B5" s="73"/>
      <c r="C5" s="74"/>
      <c r="D5" s="65"/>
      <c r="E5" s="65"/>
      <c r="F5" s="72"/>
      <c r="G5" s="73"/>
      <c r="H5" s="75"/>
    </row>
    <row r="6" spans="1:9">
      <c r="A6" s="72"/>
      <c r="B6" s="73"/>
      <c r="C6" s="74"/>
      <c r="D6" s="65"/>
      <c r="E6" s="65"/>
      <c r="F6" s="72"/>
      <c r="G6" s="73"/>
      <c r="H6" s="75"/>
      <c r="I6" s="84"/>
    </row>
    <row r="7" spans="1:9">
      <c r="A7" s="72"/>
      <c r="B7" s="73"/>
      <c r="C7" s="74"/>
      <c r="D7" s="65"/>
      <c r="E7" s="65"/>
      <c r="F7" s="72"/>
      <c r="G7" s="73"/>
      <c r="H7" s="75"/>
    </row>
    <row r="8" spans="1:9">
      <c r="A8" s="72"/>
      <c r="B8" s="73"/>
      <c r="C8" s="74"/>
      <c r="D8" s="65"/>
      <c r="E8" s="65"/>
      <c r="F8" s="72"/>
      <c r="G8" s="73"/>
      <c r="H8" s="75"/>
    </row>
    <row r="9" spans="1:9">
      <c r="A9" s="72"/>
      <c r="B9" s="73"/>
      <c r="C9" s="74"/>
      <c r="D9" s="65"/>
      <c r="E9" s="65"/>
      <c r="F9" s="72"/>
      <c r="G9" s="73"/>
      <c r="H9" s="75"/>
    </row>
    <row r="10" spans="1:9">
      <c r="A10" s="72"/>
      <c r="B10" s="73"/>
      <c r="C10" s="74"/>
      <c r="D10" s="65"/>
      <c r="E10" s="65"/>
      <c r="F10" s="72"/>
      <c r="G10" s="73"/>
      <c r="H10" s="75"/>
    </row>
    <row r="11" spans="1:9">
      <c r="A11" s="72"/>
      <c r="B11" s="73"/>
      <c r="C11" s="74"/>
      <c r="D11" s="65"/>
      <c r="E11" s="65"/>
      <c r="F11" s="72"/>
      <c r="G11" s="73"/>
      <c r="H11" s="75"/>
    </row>
    <row r="12" spans="1:9">
      <c r="A12" s="72"/>
      <c r="B12" s="73"/>
      <c r="C12" s="74"/>
      <c r="D12" s="65"/>
      <c r="E12" s="65"/>
      <c r="F12" s="72"/>
      <c r="G12" s="73"/>
      <c r="H12" s="75"/>
    </row>
    <row r="13" spans="1:9">
      <c r="A13" s="72"/>
      <c r="B13" s="73"/>
      <c r="C13" s="74"/>
      <c r="D13" s="65"/>
      <c r="E13" s="65"/>
      <c r="F13" s="72"/>
      <c r="G13" s="73"/>
      <c r="H13" s="75"/>
    </row>
    <row r="14" spans="1:9">
      <c r="A14" s="72"/>
      <c r="B14" s="73"/>
      <c r="C14" s="74"/>
      <c r="D14" s="65"/>
      <c r="E14" s="65"/>
      <c r="F14" s="72"/>
      <c r="G14" s="73"/>
      <c r="H14" s="75"/>
    </row>
    <row r="15" spans="1:9">
      <c r="A15" s="72"/>
      <c r="B15" s="73"/>
      <c r="C15" s="74"/>
      <c r="D15" s="65"/>
      <c r="E15" s="65"/>
      <c r="F15" s="72"/>
      <c r="G15" s="73"/>
      <c r="H15" s="75"/>
    </row>
    <row r="16" spans="1:9">
      <c r="A16" s="72"/>
      <c r="B16" s="73"/>
      <c r="C16" s="74"/>
      <c r="D16" s="65"/>
      <c r="E16" s="65"/>
      <c r="F16" s="72"/>
      <c r="G16" s="73"/>
      <c r="H16" s="75"/>
    </row>
    <row r="17" spans="1:8">
      <c r="A17" s="72"/>
      <c r="B17" s="73"/>
      <c r="C17" s="74"/>
      <c r="D17" s="65"/>
      <c r="E17" s="65"/>
      <c r="F17" s="72"/>
      <c r="G17" s="73"/>
      <c r="H17" s="75"/>
    </row>
    <row r="18" spans="1:8">
      <c r="A18" s="72"/>
      <c r="B18" s="73"/>
      <c r="C18" s="74"/>
      <c r="D18" s="65"/>
      <c r="E18" s="65"/>
      <c r="F18" s="72"/>
      <c r="G18" s="73"/>
      <c r="H18" s="75"/>
    </row>
    <row r="19" spans="1:8">
      <c r="A19" s="72"/>
      <c r="B19" s="73"/>
      <c r="C19" s="74"/>
      <c r="D19" s="65"/>
      <c r="E19" s="65"/>
      <c r="F19" s="72"/>
      <c r="G19" s="73"/>
      <c r="H19" s="75"/>
    </row>
    <row r="20" spans="1:8">
      <c r="A20" s="72"/>
      <c r="B20" s="73"/>
      <c r="C20" s="74"/>
      <c r="D20" s="65"/>
      <c r="E20" s="65"/>
      <c r="F20" s="72"/>
      <c r="G20" s="73"/>
      <c r="H20" s="75"/>
    </row>
    <row r="21" spans="1:8">
      <c r="A21" s="72"/>
      <c r="B21" s="73"/>
      <c r="C21" s="74"/>
      <c r="D21" s="65"/>
      <c r="E21" s="65"/>
      <c r="F21" s="72"/>
      <c r="G21" s="73"/>
      <c r="H21" s="75"/>
    </row>
    <row r="22" spans="1:8">
      <c r="A22" s="72"/>
      <c r="B22" s="73"/>
      <c r="C22" s="74"/>
      <c r="D22" s="65"/>
      <c r="E22" s="65"/>
      <c r="F22" s="72"/>
      <c r="G22" s="73"/>
      <c r="H22" s="75"/>
    </row>
    <row r="23" spans="1:8">
      <c r="A23" s="72"/>
      <c r="B23" s="73"/>
      <c r="C23" s="74"/>
      <c r="D23" s="65"/>
      <c r="E23" s="65"/>
      <c r="F23" s="72"/>
      <c r="G23" s="73"/>
      <c r="H23" s="75"/>
    </row>
    <row r="24" spans="1:8">
      <c r="A24" s="72"/>
      <c r="B24" s="73"/>
      <c r="C24" s="74"/>
      <c r="D24" s="65"/>
      <c r="E24" s="65"/>
      <c r="F24" s="72"/>
      <c r="G24" s="73"/>
      <c r="H24" s="75"/>
    </row>
    <row r="25" spans="1:8">
      <c r="A25" s="72"/>
      <c r="B25" s="73"/>
      <c r="C25" s="74"/>
      <c r="D25" s="65"/>
      <c r="E25" s="65"/>
      <c r="F25" s="72"/>
      <c r="G25" s="73"/>
      <c r="H25" s="75"/>
    </row>
    <row r="26" spans="1:8">
      <c r="A26" s="72"/>
      <c r="B26" s="73"/>
      <c r="C26" s="74"/>
      <c r="D26" s="65"/>
      <c r="E26" s="65"/>
      <c r="F26" s="72"/>
      <c r="G26" s="73"/>
      <c r="H26" s="75"/>
    </row>
  </sheetData>
  <autoFilter ref="A1:H2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X87"/>
  <sheetViews>
    <sheetView showGridLines="0" zoomScaleNormal="100" workbookViewId="0">
      <pane xSplit="2" ySplit="2" topLeftCell="AP45" activePane="bottomRight" state="frozen"/>
      <selection pane="topRight" activeCell="C1" sqref="C1"/>
      <selection pane="bottomLeft" activeCell="A3" sqref="A3"/>
      <selection pane="bottomRight" activeCell="AT48" sqref="AT48"/>
    </sheetView>
  </sheetViews>
  <sheetFormatPr baseColWidth="10" defaultRowHeight="15"/>
  <cols>
    <col min="1" max="1" width="20.85546875" bestFit="1" customWidth="1"/>
    <col min="2" max="2" width="22.140625" customWidth="1"/>
    <col min="3" max="5" width="19.7109375" customWidth="1"/>
    <col min="6" max="6" width="18.85546875" customWidth="1"/>
    <col min="7" max="7" width="17.85546875" customWidth="1"/>
    <col min="8" max="8" width="17.7109375" style="12" customWidth="1"/>
    <col min="9" max="9" width="17.140625" style="15" customWidth="1"/>
    <col min="10" max="10" width="19.7109375" style="15" customWidth="1"/>
    <col min="11" max="11" width="17.7109375" style="13" customWidth="1"/>
    <col min="12" max="12" width="18.28515625" style="13" customWidth="1"/>
    <col min="13" max="13" width="10.7109375" style="13" customWidth="1"/>
    <col min="14" max="14" width="9.28515625" style="13" customWidth="1"/>
    <col min="15" max="17" width="19.7109375" customWidth="1"/>
    <col min="18" max="18" width="18.85546875" customWidth="1"/>
    <col min="19" max="19" width="17.85546875" customWidth="1"/>
    <col min="20" max="20" width="17.7109375" style="12" customWidth="1"/>
    <col min="21" max="21" width="17.140625" style="15" customWidth="1"/>
    <col min="22" max="22" width="19.7109375" style="15" customWidth="1"/>
    <col min="23" max="23" width="17.7109375" style="13" customWidth="1"/>
    <col min="24" max="24" width="18.28515625" style="13" customWidth="1"/>
    <col min="25" max="25" width="10.7109375" style="13" customWidth="1"/>
    <col min="26" max="26" width="9.28515625" style="13" customWidth="1"/>
    <col min="27" max="29" width="19.7109375" bestFit="1" customWidth="1"/>
    <col min="30" max="30" width="18.85546875" bestFit="1" customWidth="1"/>
    <col min="31" max="31" width="17.85546875" bestFit="1" customWidth="1"/>
    <col min="32" max="32" width="17.7109375" style="12" bestFit="1" customWidth="1"/>
    <col min="33" max="33" width="17.140625" style="15" customWidth="1"/>
    <col min="34" max="34" width="19.7109375" style="15" customWidth="1"/>
    <col min="35" max="35" width="17.7109375" style="13" customWidth="1"/>
    <col min="36" max="36" width="18.28515625" style="13" customWidth="1"/>
    <col min="37" max="37" width="10.7109375" style="13" customWidth="1"/>
    <col min="38" max="38" width="9.28515625" style="13" customWidth="1"/>
    <col min="39" max="41" width="19.7109375" style="30" bestFit="1" customWidth="1"/>
    <col min="42" max="42" width="18.85546875" style="30" bestFit="1" customWidth="1"/>
    <col min="43" max="43" width="17.85546875" style="30" bestFit="1" customWidth="1"/>
    <col min="44" max="44" width="17.7109375" style="30" bestFit="1" customWidth="1"/>
    <col min="45" max="45" width="17.140625" style="30" customWidth="1"/>
    <col min="46" max="46" width="19.7109375" customWidth="1"/>
    <col min="47" max="47" width="17.7109375" customWidth="1"/>
    <col min="48" max="48" width="18.28515625" customWidth="1"/>
    <col min="49" max="49" width="10.7109375" customWidth="1"/>
    <col min="50" max="50" width="9.28515625" customWidth="1"/>
  </cols>
  <sheetData>
    <row r="1" spans="1:50" ht="50.25" customHeight="1">
      <c r="A1" s="289" t="s">
        <v>244</v>
      </c>
      <c r="B1" s="289"/>
      <c r="C1" s="289"/>
      <c r="D1" s="289"/>
      <c r="E1" s="289"/>
      <c r="F1" s="289"/>
      <c r="G1" s="289"/>
      <c r="H1" s="289"/>
      <c r="I1" s="289"/>
      <c r="J1" s="289"/>
      <c r="K1" s="289"/>
      <c r="L1" s="289"/>
      <c r="M1" s="289"/>
      <c r="N1" s="289"/>
      <c r="O1" s="289" t="s">
        <v>226</v>
      </c>
      <c r="P1" s="289"/>
      <c r="Q1" s="289"/>
      <c r="R1" s="289"/>
      <c r="S1" s="289"/>
      <c r="T1" s="289"/>
      <c r="U1" s="289"/>
      <c r="V1" s="289"/>
      <c r="W1" s="289"/>
      <c r="X1" s="289"/>
      <c r="Y1" s="289"/>
      <c r="Z1" s="289"/>
      <c r="AA1" s="289" t="s">
        <v>225</v>
      </c>
      <c r="AB1" s="289"/>
      <c r="AC1" s="289"/>
      <c r="AD1" s="289"/>
      <c r="AE1" s="289"/>
      <c r="AF1" s="289"/>
      <c r="AG1" s="289"/>
      <c r="AH1" s="289"/>
      <c r="AI1" s="289"/>
      <c r="AJ1" s="289"/>
      <c r="AK1" s="289"/>
      <c r="AL1" s="289"/>
      <c r="AM1" s="289" t="s">
        <v>443</v>
      </c>
      <c r="AN1" s="289"/>
      <c r="AO1" s="289"/>
      <c r="AP1" s="289"/>
      <c r="AQ1" s="289"/>
      <c r="AR1" s="289"/>
      <c r="AS1" s="289"/>
      <c r="AT1" s="289"/>
      <c r="AU1" s="289"/>
      <c r="AV1" s="289"/>
      <c r="AW1" s="289"/>
      <c r="AX1" s="289"/>
    </row>
    <row r="2" spans="1:50" ht="58.5" customHeight="1">
      <c r="A2" s="54" t="s">
        <v>0</v>
      </c>
      <c r="B2" s="55" t="s">
        <v>243</v>
      </c>
      <c r="C2" s="45" t="s">
        <v>354</v>
      </c>
      <c r="D2" s="45" t="s">
        <v>355</v>
      </c>
      <c r="E2" s="45" t="s">
        <v>356</v>
      </c>
      <c r="F2" s="46" t="s">
        <v>1</v>
      </c>
      <c r="G2" s="46" t="s">
        <v>357</v>
      </c>
      <c r="H2" s="46" t="s">
        <v>358</v>
      </c>
      <c r="I2" s="47" t="s">
        <v>359</v>
      </c>
      <c r="J2" s="48" t="s">
        <v>246</v>
      </c>
      <c r="K2" s="48" t="s">
        <v>247</v>
      </c>
      <c r="L2" s="47" t="s">
        <v>255</v>
      </c>
      <c r="M2" s="48" t="s">
        <v>360</v>
      </c>
      <c r="N2" s="48" t="s">
        <v>254</v>
      </c>
      <c r="O2" s="17" t="s">
        <v>354</v>
      </c>
      <c r="P2" s="17" t="s">
        <v>355</v>
      </c>
      <c r="Q2" s="17" t="s">
        <v>356</v>
      </c>
      <c r="R2" s="18" t="s">
        <v>1</v>
      </c>
      <c r="S2" s="18" t="s">
        <v>357</v>
      </c>
      <c r="T2" s="18" t="s">
        <v>358</v>
      </c>
      <c r="U2" s="19" t="s">
        <v>246</v>
      </c>
      <c r="V2" s="19" t="s">
        <v>359</v>
      </c>
      <c r="W2" s="29" t="s">
        <v>247</v>
      </c>
      <c r="X2" s="19" t="s">
        <v>255</v>
      </c>
      <c r="Y2" s="28" t="s">
        <v>360</v>
      </c>
      <c r="Z2" s="29" t="s">
        <v>431</v>
      </c>
      <c r="AA2" s="49" t="s">
        <v>354</v>
      </c>
      <c r="AB2" s="49" t="s">
        <v>355</v>
      </c>
      <c r="AC2" s="49" t="s">
        <v>356</v>
      </c>
      <c r="AD2" s="50" t="s">
        <v>1</v>
      </c>
      <c r="AE2" s="50" t="s">
        <v>357</v>
      </c>
      <c r="AF2" s="50" t="s">
        <v>358</v>
      </c>
      <c r="AG2" s="51" t="s">
        <v>359</v>
      </c>
      <c r="AH2" s="52" t="s">
        <v>246</v>
      </c>
      <c r="AI2" s="53" t="s">
        <v>247</v>
      </c>
      <c r="AJ2" s="51" t="s">
        <v>255</v>
      </c>
      <c r="AK2" s="52" t="s">
        <v>360</v>
      </c>
      <c r="AL2" s="53" t="s">
        <v>254</v>
      </c>
      <c r="AM2" s="156" t="s">
        <v>354</v>
      </c>
      <c r="AN2" s="156" t="s">
        <v>355</v>
      </c>
      <c r="AO2" s="156" t="s">
        <v>356</v>
      </c>
      <c r="AP2" s="157" t="s">
        <v>1</v>
      </c>
      <c r="AQ2" s="157" t="s">
        <v>357</v>
      </c>
      <c r="AR2" s="157" t="s">
        <v>358</v>
      </c>
      <c r="AS2" s="158" t="s">
        <v>359</v>
      </c>
      <c r="AT2" s="159" t="s">
        <v>246</v>
      </c>
      <c r="AU2" s="160" t="s">
        <v>247</v>
      </c>
      <c r="AV2" s="158" t="s">
        <v>255</v>
      </c>
      <c r="AW2" s="159" t="s">
        <v>360</v>
      </c>
      <c r="AX2" s="160" t="s">
        <v>254</v>
      </c>
    </row>
    <row r="3" spans="1:50">
      <c r="A3" s="11" t="s">
        <v>7</v>
      </c>
      <c r="B3" s="11" t="s">
        <v>279</v>
      </c>
      <c r="C3" s="10">
        <v>85592112941</v>
      </c>
      <c r="D3" s="10">
        <v>0</v>
      </c>
      <c r="E3" s="10">
        <v>0</v>
      </c>
      <c r="F3" s="10">
        <v>85592112941</v>
      </c>
      <c r="G3" s="10">
        <v>4651100000</v>
      </c>
      <c r="H3" s="14">
        <v>80941012941</v>
      </c>
      <c r="I3" s="14">
        <v>27307766154.18</v>
      </c>
      <c r="J3" s="14">
        <v>53633246786.82</v>
      </c>
      <c r="K3" s="14">
        <v>14967480010.84</v>
      </c>
      <c r="L3" s="14">
        <v>14934471168.84</v>
      </c>
      <c r="M3" s="16">
        <v>0.3500353589645675</v>
      </c>
      <c r="N3" s="16">
        <v>0.1620150267793902</v>
      </c>
      <c r="O3" s="10">
        <v>3653134329</v>
      </c>
      <c r="P3" s="10">
        <v>0</v>
      </c>
      <c r="Q3" s="10">
        <v>0</v>
      </c>
      <c r="R3" s="10">
        <v>3653134329</v>
      </c>
      <c r="S3" s="10">
        <v>0</v>
      </c>
      <c r="T3" s="14">
        <v>3653134329</v>
      </c>
      <c r="U3" s="14">
        <v>3190030826</v>
      </c>
      <c r="V3" s="14">
        <v>463103503</v>
      </c>
      <c r="W3" s="14">
        <v>545213875</v>
      </c>
      <c r="X3" s="14">
        <v>545213875</v>
      </c>
      <c r="Y3" s="16">
        <v>0.155</v>
      </c>
      <c r="Z3" s="16"/>
      <c r="AA3" s="10">
        <v>80619565000</v>
      </c>
      <c r="AB3" s="10">
        <v>0</v>
      </c>
      <c r="AC3" s="10">
        <v>0</v>
      </c>
      <c r="AD3" s="10">
        <v>80619565000</v>
      </c>
      <c r="AE3" s="10">
        <v>4651100000</v>
      </c>
      <c r="AF3" s="14">
        <v>75968465000</v>
      </c>
      <c r="AG3" s="14">
        <v>24117735328.18</v>
      </c>
      <c r="AH3" s="14">
        <v>51850729671.82</v>
      </c>
      <c r="AI3" s="14">
        <v>14422266135.84</v>
      </c>
      <c r="AJ3" s="14">
        <v>14389257293.84</v>
      </c>
      <c r="AK3" s="16"/>
      <c r="AL3" s="16"/>
      <c r="AM3" s="10">
        <v>1319413612</v>
      </c>
      <c r="AN3" s="10">
        <v>0</v>
      </c>
      <c r="AO3" s="10">
        <v>0</v>
      </c>
      <c r="AP3" s="10">
        <v>1319413612</v>
      </c>
      <c r="AQ3" s="10">
        <v>0</v>
      </c>
      <c r="AR3" s="14">
        <v>1319413612</v>
      </c>
      <c r="AS3" s="14">
        <v>0</v>
      </c>
      <c r="AT3" s="14">
        <v>1319413612</v>
      </c>
      <c r="AU3" s="14">
        <v>0</v>
      </c>
      <c r="AV3" s="14">
        <v>0</v>
      </c>
      <c r="AW3" s="16"/>
      <c r="AX3" s="16"/>
    </row>
    <row r="4" spans="1:50">
      <c r="A4" s="11" t="s">
        <v>248</v>
      </c>
      <c r="B4" s="11"/>
      <c r="C4" s="10">
        <v>85592112941</v>
      </c>
      <c r="D4" s="10">
        <v>0</v>
      </c>
      <c r="E4" s="10">
        <v>0</v>
      </c>
      <c r="F4" s="10">
        <v>85592112941</v>
      </c>
      <c r="G4" s="10">
        <v>4651100000</v>
      </c>
      <c r="H4" s="14">
        <v>80941012941</v>
      </c>
      <c r="I4" s="14">
        <v>27307766154.18</v>
      </c>
      <c r="J4" s="14">
        <v>53633246786.82</v>
      </c>
      <c r="K4" s="14">
        <v>14967480010.84</v>
      </c>
      <c r="L4" s="14">
        <v>14934471168.84</v>
      </c>
      <c r="M4" s="16">
        <v>0.3500353589645675</v>
      </c>
      <c r="N4" s="16">
        <v>0.1620150267793902</v>
      </c>
      <c r="O4" s="10">
        <v>3653134329</v>
      </c>
      <c r="P4" s="10">
        <v>0</v>
      </c>
      <c r="Q4" s="10">
        <v>0</v>
      </c>
      <c r="R4" s="10">
        <v>3653134329</v>
      </c>
      <c r="S4" s="10">
        <v>0</v>
      </c>
      <c r="T4" s="14">
        <v>3653134329</v>
      </c>
      <c r="U4" s="14">
        <v>3190030826</v>
      </c>
      <c r="V4" s="14">
        <v>463103503</v>
      </c>
      <c r="W4" s="14">
        <v>545213875</v>
      </c>
      <c r="X4" s="14">
        <v>545213875</v>
      </c>
      <c r="Y4" s="16">
        <v>0.155</v>
      </c>
      <c r="Z4" s="16"/>
      <c r="AA4" s="10">
        <v>80619565000</v>
      </c>
      <c r="AB4" s="10">
        <v>0</v>
      </c>
      <c r="AC4" s="10">
        <v>0</v>
      </c>
      <c r="AD4" s="10">
        <v>80619565000</v>
      </c>
      <c r="AE4" s="10">
        <v>4651100000</v>
      </c>
      <c r="AF4" s="14">
        <v>75968465000</v>
      </c>
      <c r="AG4" s="14">
        <v>24117735328.18</v>
      </c>
      <c r="AH4" s="14">
        <v>51850729671.82</v>
      </c>
      <c r="AI4" s="14">
        <v>14422266135.84</v>
      </c>
      <c r="AJ4" s="14">
        <v>14389257293.84</v>
      </c>
      <c r="AK4" s="16"/>
      <c r="AL4" s="16"/>
      <c r="AM4" s="10">
        <v>1319413612</v>
      </c>
      <c r="AN4" s="10">
        <v>0</v>
      </c>
      <c r="AO4" s="10">
        <v>0</v>
      </c>
      <c r="AP4" s="10">
        <v>1319413612</v>
      </c>
      <c r="AQ4" s="10">
        <v>0</v>
      </c>
      <c r="AR4" s="14">
        <v>1319413612</v>
      </c>
      <c r="AS4" s="14">
        <v>0</v>
      </c>
      <c r="AT4" s="14">
        <v>1319413612</v>
      </c>
      <c r="AU4" s="14">
        <v>0</v>
      </c>
      <c r="AV4" s="14">
        <v>0</v>
      </c>
      <c r="AW4" s="16"/>
      <c r="AX4" s="16"/>
    </row>
    <row r="5" spans="1:50">
      <c r="A5" s="11" t="s">
        <v>241</v>
      </c>
      <c r="B5" s="11" t="s">
        <v>24</v>
      </c>
      <c r="C5" s="10">
        <v>2845897071</v>
      </c>
      <c r="D5" s="10">
        <v>0</v>
      </c>
      <c r="E5" s="10">
        <v>0</v>
      </c>
      <c r="F5" s="10">
        <v>2845897071</v>
      </c>
      <c r="G5" s="10">
        <v>0</v>
      </c>
      <c r="H5" s="14">
        <v>2845897071</v>
      </c>
      <c r="I5" s="14">
        <v>798843640</v>
      </c>
      <c r="J5" s="14">
        <v>2047053431</v>
      </c>
      <c r="K5" s="14">
        <v>798843640</v>
      </c>
      <c r="L5" s="14">
        <v>797856130</v>
      </c>
      <c r="M5" s="16">
        <v>0.3500353589645675</v>
      </c>
      <c r="N5" s="16">
        <v>0.1620150267793902</v>
      </c>
      <c r="O5" s="10">
        <v>0</v>
      </c>
      <c r="P5" s="10">
        <v>0</v>
      </c>
      <c r="Q5" s="10">
        <v>0</v>
      </c>
      <c r="R5" s="10">
        <v>0</v>
      </c>
      <c r="S5" s="10">
        <v>0</v>
      </c>
      <c r="T5" s="14">
        <v>0</v>
      </c>
      <c r="U5" s="14">
        <v>0</v>
      </c>
      <c r="V5" s="14">
        <v>0</v>
      </c>
      <c r="W5" s="14">
        <v>0</v>
      </c>
      <c r="X5" s="14">
        <v>0</v>
      </c>
      <c r="Y5" s="16">
        <v>0.155</v>
      </c>
      <c r="Z5" s="16"/>
      <c r="AA5" s="10">
        <v>2582137000</v>
      </c>
      <c r="AB5" s="10">
        <v>0</v>
      </c>
      <c r="AC5" s="10">
        <v>0</v>
      </c>
      <c r="AD5" s="10">
        <v>2582137000</v>
      </c>
      <c r="AE5" s="10">
        <v>0</v>
      </c>
      <c r="AF5" s="14">
        <v>2582137000</v>
      </c>
      <c r="AG5" s="14">
        <v>798843640</v>
      </c>
      <c r="AH5" s="14">
        <v>1783293360</v>
      </c>
      <c r="AI5" s="14">
        <v>798843640</v>
      </c>
      <c r="AJ5" s="14">
        <v>797856130</v>
      </c>
      <c r="AK5" s="16"/>
      <c r="AL5" s="16"/>
      <c r="AM5" s="10">
        <v>263760071</v>
      </c>
      <c r="AN5" s="10">
        <v>0</v>
      </c>
      <c r="AO5" s="10">
        <v>0</v>
      </c>
      <c r="AP5" s="10">
        <v>263760071</v>
      </c>
      <c r="AQ5" s="10">
        <v>0</v>
      </c>
      <c r="AR5" s="14">
        <v>263760071</v>
      </c>
      <c r="AS5" s="14">
        <v>0</v>
      </c>
      <c r="AT5" s="14">
        <v>263760071</v>
      </c>
      <c r="AU5" s="14">
        <v>0</v>
      </c>
      <c r="AV5" s="14">
        <v>0</v>
      </c>
      <c r="AW5" s="16"/>
      <c r="AX5" s="16"/>
    </row>
    <row r="6" spans="1:50">
      <c r="A6" s="11" t="s">
        <v>241</v>
      </c>
      <c r="B6" s="11" t="s">
        <v>25</v>
      </c>
      <c r="C6" s="10">
        <v>3337529943</v>
      </c>
      <c r="D6" s="10">
        <v>0</v>
      </c>
      <c r="E6" s="10">
        <v>0</v>
      </c>
      <c r="F6" s="10">
        <v>3337529943</v>
      </c>
      <c r="G6" s="10">
        <v>0</v>
      </c>
      <c r="H6" s="14">
        <v>3337529943</v>
      </c>
      <c r="I6" s="14">
        <v>668099992</v>
      </c>
      <c r="J6" s="14">
        <v>2669429951</v>
      </c>
      <c r="K6" s="14">
        <v>668099992</v>
      </c>
      <c r="L6" s="14">
        <v>668099992</v>
      </c>
      <c r="M6" s="16">
        <v>0.3500353589645675</v>
      </c>
      <c r="N6" s="16">
        <v>0.1620150267793902</v>
      </c>
      <c r="O6" s="10">
        <v>0</v>
      </c>
      <c r="P6" s="10">
        <v>0</v>
      </c>
      <c r="Q6" s="10">
        <v>0</v>
      </c>
      <c r="R6" s="10">
        <v>0</v>
      </c>
      <c r="S6" s="10">
        <v>0</v>
      </c>
      <c r="T6" s="14">
        <v>0</v>
      </c>
      <c r="U6" s="14">
        <v>0</v>
      </c>
      <c r="V6" s="14">
        <v>0</v>
      </c>
      <c r="W6" s="14">
        <v>0</v>
      </c>
      <c r="X6" s="14">
        <v>0</v>
      </c>
      <c r="Y6" s="16">
        <v>0.155</v>
      </c>
      <c r="Z6" s="16"/>
      <c r="AA6" s="10">
        <v>2785600000</v>
      </c>
      <c r="AB6" s="10">
        <v>0</v>
      </c>
      <c r="AC6" s="10">
        <v>0</v>
      </c>
      <c r="AD6" s="10">
        <v>2785600000</v>
      </c>
      <c r="AE6" s="10">
        <v>0</v>
      </c>
      <c r="AF6" s="14">
        <v>2785600000</v>
      </c>
      <c r="AG6" s="14">
        <v>668099992</v>
      </c>
      <c r="AH6" s="14">
        <v>2117500008</v>
      </c>
      <c r="AI6" s="14">
        <v>668099992</v>
      </c>
      <c r="AJ6" s="14">
        <v>668099992</v>
      </c>
      <c r="AK6" s="16"/>
      <c r="AL6" s="16"/>
      <c r="AM6" s="10">
        <v>551929943</v>
      </c>
      <c r="AN6" s="10">
        <v>0</v>
      </c>
      <c r="AO6" s="10">
        <v>0</v>
      </c>
      <c r="AP6" s="10">
        <v>551929943</v>
      </c>
      <c r="AQ6" s="10">
        <v>0</v>
      </c>
      <c r="AR6" s="14">
        <v>551929943</v>
      </c>
      <c r="AS6" s="14">
        <v>0</v>
      </c>
      <c r="AT6" s="14">
        <v>551929943</v>
      </c>
      <c r="AU6" s="14">
        <v>0</v>
      </c>
      <c r="AV6" s="14">
        <v>0</v>
      </c>
      <c r="AW6" s="16"/>
      <c r="AX6" s="16"/>
    </row>
    <row r="7" spans="1:50">
      <c r="A7" s="11" t="s">
        <v>241</v>
      </c>
      <c r="B7" s="11" t="s">
        <v>26</v>
      </c>
      <c r="C7" s="10">
        <v>3190517789</v>
      </c>
      <c r="D7" s="10">
        <v>0</v>
      </c>
      <c r="E7" s="10">
        <v>0</v>
      </c>
      <c r="F7" s="10">
        <v>3190517789</v>
      </c>
      <c r="G7" s="10">
        <v>0</v>
      </c>
      <c r="H7" s="14">
        <v>3190517789</v>
      </c>
      <c r="I7" s="14">
        <v>53539200</v>
      </c>
      <c r="J7" s="14">
        <v>3136978589</v>
      </c>
      <c r="K7" s="14">
        <v>1689000</v>
      </c>
      <c r="L7" s="14">
        <v>0</v>
      </c>
      <c r="M7" s="16">
        <v>0.3500353589645675</v>
      </c>
      <c r="N7" s="16">
        <v>0.1620150267793902</v>
      </c>
      <c r="O7" s="10">
        <v>0</v>
      </c>
      <c r="P7" s="10">
        <v>0</v>
      </c>
      <c r="Q7" s="10">
        <v>0</v>
      </c>
      <c r="R7" s="10">
        <v>0</v>
      </c>
      <c r="S7" s="10">
        <v>0</v>
      </c>
      <c r="T7" s="14">
        <v>0</v>
      </c>
      <c r="U7" s="14">
        <v>0</v>
      </c>
      <c r="V7" s="14">
        <v>0</v>
      </c>
      <c r="W7" s="14">
        <v>0</v>
      </c>
      <c r="X7" s="14">
        <v>0</v>
      </c>
      <c r="Y7" s="16">
        <v>0.155</v>
      </c>
      <c r="Z7" s="16"/>
      <c r="AA7" s="10">
        <v>2684429500</v>
      </c>
      <c r="AB7" s="10">
        <v>0</v>
      </c>
      <c r="AC7" s="10">
        <v>0</v>
      </c>
      <c r="AD7" s="10">
        <v>2684429500</v>
      </c>
      <c r="AE7" s="10">
        <v>0</v>
      </c>
      <c r="AF7" s="14">
        <v>2684429500</v>
      </c>
      <c r="AG7" s="14">
        <v>53539200</v>
      </c>
      <c r="AH7" s="14">
        <v>2630890300</v>
      </c>
      <c r="AI7" s="14">
        <v>1689000</v>
      </c>
      <c r="AJ7" s="14">
        <v>0</v>
      </c>
      <c r="AK7" s="16"/>
      <c r="AL7" s="16"/>
      <c r="AM7" s="10">
        <v>506088289</v>
      </c>
      <c r="AN7" s="10">
        <v>0</v>
      </c>
      <c r="AO7" s="10">
        <v>0</v>
      </c>
      <c r="AP7" s="10">
        <v>506088289</v>
      </c>
      <c r="AQ7" s="10">
        <v>0</v>
      </c>
      <c r="AR7" s="14">
        <v>506088289</v>
      </c>
      <c r="AS7" s="14">
        <v>0</v>
      </c>
      <c r="AT7" s="14">
        <v>506088289</v>
      </c>
      <c r="AU7" s="14">
        <v>0</v>
      </c>
      <c r="AV7" s="14">
        <v>0</v>
      </c>
      <c r="AW7" s="16"/>
      <c r="AX7" s="16"/>
    </row>
    <row r="8" spans="1:50">
      <c r="A8" s="11" t="s">
        <v>241</v>
      </c>
      <c r="B8" s="11" t="s">
        <v>28</v>
      </c>
      <c r="C8" s="10">
        <v>14718095610</v>
      </c>
      <c r="D8" s="10">
        <v>0</v>
      </c>
      <c r="E8" s="10">
        <v>0</v>
      </c>
      <c r="F8" s="10">
        <v>14718095610</v>
      </c>
      <c r="G8" s="10">
        <v>0</v>
      </c>
      <c r="H8" s="14">
        <v>14718095610</v>
      </c>
      <c r="I8" s="14">
        <v>13201619942</v>
      </c>
      <c r="J8" s="14">
        <v>1516475668</v>
      </c>
      <c r="K8" s="14">
        <v>1076797144</v>
      </c>
      <c r="L8" s="14">
        <v>812981400</v>
      </c>
      <c r="M8" s="16">
        <v>0.3500353589645675</v>
      </c>
      <c r="N8" s="16">
        <v>0.1620150267793902</v>
      </c>
      <c r="O8" s="10">
        <v>11987095610</v>
      </c>
      <c r="P8" s="10">
        <v>0</v>
      </c>
      <c r="Q8" s="10">
        <v>0</v>
      </c>
      <c r="R8" s="10">
        <v>11987095610</v>
      </c>
      <c r="S8" s="10">
        <v>0</v>
      </c>
      <c r="T8" s="14">
        <v>11987095610</v>
      </c>
      <c r="U8" s="14">
        <v>11986916527</v>
      </c>
      <c r="V8" s="14">
        <v>179083</v>
      </c>
      <c r="W8" s="14">
        <v>0</v>
      </c>
      <c r="X8" s="14">
        <v>0</v>
      </c>
      <c r="Y8" s="16">
        <v>0.155</v>
      </c>
      <c r="Z8" s="16"/>
      <c r="AA8" s="10">
        <v>2731000000</v>
      </c>
      <c r="AB8" s="10">
        <v>0</v>
      </c>
      <c r="AC8" s="10">
        <v>0</v>
      </c>
      <c r="AD8" s="10">
        <v>2731000000</v>
      </c>
      <c r="AE8" s="10">
        <v>0</v>
      </c>
      <c r="AF8" s="14">
        <v>2731000000</v>
      </c>
      <c r="AG8" s="14">
        <v>1214703415</v>
      </c>
      <c r="AH8" s="14">
        <v>1516296585</v>
      </c>
      <c r="AI8" s="14">
        <v>1076797144</v>
      </c>
      <c r="AJ8" s="14">
        <v>812981400</v>
      </c>
      <c r="AK8" s="16"/>
      <c r="AL8" s="16"/>
      <c r="AM8" s="10">
        <v>0</v>
      </c>
      <c r="AN8" s="10">
        <v>0</v>
      </c>
      <c r="AO8" s="10">
        <v>0</v>
      </c>
      <c r="AP8" s="10">
        <v>0</v>
      </c>
      <c r="AQ8" s="10">
        <v>0</v>
      </c>
      <c r="AR8" s="14">
        <v>0</v>
      </c>
      <c r="AS8" s="14">
        <v>0</v>
      </c>
      <c r="AT8" s="14">
        <v>0</v>
      </c>
      <c r="AU8" s="14">
        <v>0</v>
      </c>
      <c r="AV8" s="14">
        <v>0</v>
      </c>
      <c r="AW8" s="16"/>
      <c r="AX8" s="16"/>
    </row>
    <row r="9" spans="1:50">
      <c r="A9" s="11" t="s">
        <v>241</v>
      </c>
      <c r="B9" s="11" t="s">
        <v>27</v>
      </c>
      <c r="C9" s="10">
        <v>3838566786</v>
      </c>
      <c r="D9" s="10">
        <v>0</v>
      </c>
      <c r="E9" s="10">
        <v>0</v>
      </c>
      <c r="F9" s="10">
        <v>3838566786</v>
      </c>
      <c r="G9" s="10">
        <v>0</v>
      </c>
      <c r="H9" s="14">
        <v>3838566786</v>
      </c>
      <c r="I9" s="14">
        <v>528200000</v>
      </c>
      <c r="J9" s="14">
        <v>3310366786</v>
      </c>
      <c r="K9" s="14">
        <v>521200000</v>
      </c>
      <c r="L9" s="14">
        <v>521200000</v>
      </c>
      <c r="M9" s="16">
        <v>0.3500353589645675</v>
      </c>
      <c r="N9" s="16">
        <v>0.1620150267793902</v>
      </c>
      <c r="O9" s="10">
        <v>0</v>
      </c>
      <c r="P9" s="10">
        <v>0</v>
      </c>
      <c r="Q9" s="10">
        <v>0</v>
      </c>
      <c r="R9" s="10">
        <v>0</v>
      </c>
      <c r="S9" s="10">
        <v>0</v>
      </c>
      <c r="T9" s="14">
        <v>0</v>
      </c>
      <c r="U9" s="14">
        <v>0</v>
      </c>
      <c r="V9" s="14">
        <v>0</v>
      </c>
      <c r="W9" s="14">
        <v>0</v>
      </c>
      <c r="X9" s="14">
        <v>0</v>
      </c>
      <c r="Y9" s="16">
        <v>0.155</v>
      </c>
      <c r="Z9" s="16"/>
      <c r="AA9" s="10">
        <v>2502900000</v>
      </c>
      <c r="AB9" s="10">
        <v>0</v>
      </c>
      <c r="AC9" s="10">
        <v>0</v>
      </c>
      <c r="AD9" s="10">
        <v>2502900000</v>
      </c>
      <c r="AE9" s="10">
        <v>0</v>
      </c>
      <c r="AF9" s="14">
        <v>2502900000</v>
      </c>
      <c r="AG9" s="14">
        <v>528200000</v>
      </c>
      <c r="AH9" s="14">
        <v>1974700000</v>
      </c>
      <c r="AI9" s="14">
        <v>521200000</v>
      </c>
      <c r="AJ9" s="14">
        <v>521200000</v>
      </c>
      <c r="AK9" s="16"/>
      <c r="AL9" s="16"/>
      <c r="AM9" s="10">
        <v>1335666786</v>
      </c>
      <c r="AN9" s="10">
        <v>0</v>
      </c>
      <c r="AO9" s="10">
        <v>0</v>
      </c>
      <c r="AP9" s="10">
        <v>1335666786</v>
      </c>
      <c r="AQ9" s="10">
        <v>0</v>
      </c>
      <c r="AR9" s="14">
        <v>1335666786</v>
      </c>
      <c r="AS9" s="14">
        <v>0</v>
      </c>
      <c r="AT9" s="14">
        <v>1335666786</v>
      </c>
      <c r="AU9" s="14">
        <v>0</v>
      </c>
      <c r="AV9" s="14">
        <v>0</v>
      </c>
      <c r="AW9" s="16"/>
      <c r="AX9" s="16"/>
    </row>
    <row r="10" spans="1:50">
      <c r="A10" s="11" t="s">
        <v>241</v>
      </c>
      <c r="B10" s="11" t="s">
        <v>392</v>
      </c>
      <c r="C10" s="10">
        <v>0</v>
      </c>
      <c r="D10" s="10">
        <v>0</v>
      </c>
      <c r="E10" s="10">
        <v>0</v>
      </c>
      <c r="F10" s="10">
        <v>0</v>
      </c>
      <c r="G10" s="10">
        <v>0</v>
      </c>
      <c r="H10" s="14">
        <v>0</v>
      </c>
      <c r="I10" s="14">
        <v>0</v>
      </c>
      <c r="J10" s="14">
        <v>0</v>
      </c>
      <c r="K10" s="14">
        <v>0</v>
      </c>
      <c r="L10" s="14">
        <v>0</v>
      </c>
      <c r="M10" s="16">
        <v>0.3500353589645675</v>
      </c>
      <c r="N10" s="16">
        <v>0.1620150267793902</v>
      </c>
      <c r="O10" s="10">
        <v>0</v>
      </c>
      <c r="P10" s="10">
        <v>0</v>
      </c>
      <c r="Q10" s="10">
        <v>0</v>
      </c>
      <c r="R10" s="10">
        <v>0</v>
      </c>
      <c r="S10" s="10">
        <v>0</v>
      </c>
      <c r="T10" s="14">
        <v>0</v>
      </c>
      <c r="U10" s="14">
        <v>0</v>
      </c>
      <c r="V10" s="14">
        <v>0</v>
      </c>
      <c r="W10" s="14">
        <v>0</v>
      </c>
      <c r="X10" s="14">
        <v>0</v>
      </c>
      <c r="Y10" s="16">
        <v>0.155</v>
      </c>
      <c r="Z10" s="16"/>
      <c r="AA10" s="10">
        <v>0</v>
      </c>
      <c r="AB10" s="10">
        <v>0</v>
      </c>
      <c r="AC10" s="10">
        <v>0</v>
      </c>
      <c r="AD10" s="10">
        <v>0</v>
      </c>
      <c r="AE10" s="10">
        <v>0</v>
      </c>
      <c r="AF10" s="14">
        <v>0</v>
      </c>
      <c r="AG10" s="14">
        <v>0</v>
      </c>
      <c r="AH10" s="14">
        <v>0</v>
      </c>
      <c r="AI10" s="14">
        <v>0</v>
      </c>
      <c r="AJ10" s="14">
        <v>0</v>
      </c>
      <c r="AK10" s="16"/>
      <c r="AL10" s="16"/>
      <c r="AM10" s="10">
        <v>0</v>
      </c>
      <c r="AN10" s="10">
        <v>0</v>
      </c>
      <c r="AO10" s="10">
        <v>0</v>
      </c>
      <c r="AP10" s="10">
        <v>0</v>
      </c>
      <c r="AQ10" s="10">
        <v>0</v>
      </c>
      <c r="AR10" s="14">
        <v>0</v>
      </c>
      <c r="AS10" s="14">
        <v>0</v>
      </c>
      <c r="AT10" s="14">
        <v>0</v>
      </c>
      <c r="AU10" s="14">
        <v>0</v>
      </c>
      <c r="AV10" s="14">
        <v>0</v>
      </c>
      <c r="AW10" s="16"/>
      <c r="AX10" s="16"/>
    </row>
    <row r="11" spans="1:50">
      <c r="A11" s="11" t="s">
        <v>241</v>
      </c>
      <c r="B11" s="11" t="s">
        <v>29</v>
      </c>
      <c r="C11" s="10">
        <v>2755913662</v>
      </c>
      <c r="D11" s="10">
        <v>0</v>
      </c>
      <c r="E11" s="10">
        <v>0</v>
      </c>
      <c r="F11" s="10">
        <v>2755913662</v>
      </c>
      <c r="G11" s="10">
        <v>0</v>
      </c>
      <c r="H11" s="14">
        <v>2755913662</v>
      </c>
      <c r="I11" s="14">
        <v>683366772</v>
      </c>
      <c r="J11" s="14">
        <v>2072546890</v>
      </c>
      <c r="K11" s="14">
        <v>668835700</v>
      </c>
      <c r="L11" s="14">
        <v>668835700</v>
      </c>
      <c r="M11" s="16">
        <v>0.3500353589645675</v>
      </c>
      <c r="N11" s="16">
        <v>0.1620150267793902</v>
      </c>
      <c r="O11" s="10">
        <v>0</v>
      </c>
      <c r="P11" s="10">
        <v>0</v>
      </c>
      <c r="Q11" s="10">
        <v>0</v>
      </c>
      <c r="R11" s="10">
        <v>0</v>
      </c>
      <c r="S11" s="10">
        <v>0</v>
      </c>
      <c r="T11" s="14">
        <v>0</v>
      </c>
      <c r="U11" s="14">
        <v>0</v>
      </c>
      <c r="V11" s="14">
        <v>0</v>
      </c>
      <c r="W11" s="14">
        <v>0</v>
      </c>
      <c r="X11" s="14">
        <v>0</v>
      </c>
      <c r="Y11" s="16">
        <v>0.155</v>
      </c>
      <c r="Z11" s="16"/>
      <c r="AA11" s="10">
        <v>2562000000</v>
      </c>
      <c r="AB11" s="10">
        <v>0</v>
      </c>
      <c r="AC11" s="10">
        <v>0</v>
      </c>
      <c r="AD11" s="10">
        <v>2562000000</v>
      </c>
      <c r="AE11" s="10">
        <v>0</v>
      </c>
      <c r="AF11" s="14">
        <v>2562000000</v>
      </c>
      <c r="AG11" s="14">
        <v>683366772</v>
      </c>
      <c r="AH11" s="14">
        <v>1878633228</v>
      </c>
      <c r="AI11" s="14">
        <v>668835700</v>
      </c>
      <c r="AJ11" s="14">
        <v>668835700</v>
      </c>
      <c r="AK11" s="16"/>
      <c r="AL11" s="16"/>
      <c r="AM11" s="10">
        <v>193913662</v>
      </c>
      <c r="AN11" s="10">
        <v>0</v>
      </c>
      <c r="AO11" s="10">
        <v>0</v>
      </c>
      <c r="AP11" s="10">
        <v>193913662</v>
      </c>
      <c r="AQ11" s="10">
        <v>0</v>
      </c>
      <c r="AR11" s="14">
        <v>193913662</v>
      </c>
      <c r="AS11" s="14">
        <v>0</v>
      </c>
      <c r="AT11" s="14">
        <v>193913662</v>
      </c>
      <c r="AU11" s="14">
        <v>0</v>
      </c>
      <c r="AV11" s="14">
        <v>0</v>
      </c>
      <c r="AW11" s="16"/>
      <c r="AX11" s="16"/>
    </row>
    <row r="12" spans="1:50">
      <c r="A12" s="11" t="s">
        <v>241</v>
      </c>
      <c r="B12" s="11" t="s">
        <v>31</v>
      </c>
      <c r="C12" s="10">
        <v>1339265000</v>
      </c>
      <c r="D12" s="10">
        <v>0</v>
      </c>
      <c r="E12" s="10">
        <v>0</v>
      </c>
      <c r="F12" s="10">
        <v>1339265000</v>
      </c>
      <c r="G12" s="10">
        <v>0</v>
      </c>
      <c r="H12" s="14">
        <v>1339265000</v>
      </c>
      <c r="I12" s="14">
        <v>1339265000</v>
      </c>
      <c r="J12" s="14">
        <v>0</v>
      </c>
      <c r="K12" s="14">
        <v>223210826</v>
      </c>
      <c r="L12" s="14">
        <v>223210826</v>
      </c>
      <c r="M12" s="16">
        <v>0.3500353589645675</v>
      </c>
      <c r="N12" s="16">
        <v>0.1620150267793902</v>
      </c>
      <c r="O12" s="10">
        <v>0</v>
      </c>
      <c r="P12" s="10">
        <v>0</v>
      </c>
      <c r="Q12" s="10">
        <v>0</v>
      </c>
      <c r="R12" s="10">
        <v>0</v>
      </c>
      <c r="S12" s="10">
        <v>0</v>
      </c>
      <c r="T12" s="14">
        <v>0</v>
      </c>
      <c r="U12" s="14">
        <v>0</v>
      </c>
      <c r="V12" s="14">
        <v>0</v>
      </c>
      <c r="W12" s="14">
        <v>0</v>
      </c>
      <c r="X12" s="14">
        <v>0</v>
      </c>
      <c r="Y12" s="16">
        <v>0.155</v>
      </c>
      <c r="Z12" s="16"/>
      <c r="AA12" s="10">
        <v>1339265000</v>
      </c>
      <c r="AB12" s="10">
        <v>0</v>
      </c>
      <c r="AC12" s="10">
        <v>0</v>
      </c>
      <c r="AD12" s="10">
        <v>1339265000</v>
      </c>
      <c r="AE12" s="10">
        <v>0</v>
      </c>
      <c r="AF12" s="14">
        <v>1339265000</v>
      </c>
      <c r="AG12" s="14">
        <v>1339265000</v>
      </c>
      <c r="AH12" s="14">
        <v>0</v>
      </c>
      <c r="AI12" s="14">
        <v>223210826</v>
      </c>
      <c r="AJ12" s="14">
        <v>223210826</v>
      </c>
      <c r="AK12" s="16"/>
      <c r="AL12" s="16"/>
      <c r="AM12" s="10">
        <v>0</v>
      </c>
      <c r="AN12" s="10">
        <v>0</v>
      </c>
      <c r="AO12" s="10">
        <v>0</v>
      </c>
      <c r="AP12" s="10">
        <v>0</v>
      </c>
      <c r="AQ12" s="10">
        <v>0</v>
      </c>
      <c r="AR12" s="14">
        <v>0</v>
      </c>
      <c r="AS12" s="14">
        <v>0</v>
      </c>
      <c r="AT12" s="14">
        <v>0</v>
      </c>
      <c r="AU12" s="14">
        <v>0</v>
      </c>
      <c r="AV12" s="14">
        <v>0</v>
      </c>
      <c r="AW12" s="16"/>
      <c r="AX12" s="16"/>
    </row>
    <row r="13" spans="1:50">
      <c r="A13" s="11" t="s">
        <v>241</v>
      </c>
      <c r="B13" s="11" t="s">
        <v>30</v>
      </c>
      <c r="C13" s="10">
        <v>5973005357</v>
      </c>
      <c r="D13" s="10">
        <v>0</v>
      </c>
      <c r="E13" s="10">
        <v>0</v>
      </c>
      <c r="F13" s="10">
        <v>5973005357</v>
      </c>
      <c r="G13" s="10">
        <v>0</v>
      </c>
      <c r="H13" s="14">
        <v>5973005357</v>
      </c>
      <c r="I13" s="14">
        <v>4757480350</v>
      </c>
      <c r="J13" s="14">
        <v>1215525007</v>
      </c>
      <c r="K13" s="14">
        <v>1108876393</v>
      </c>
      <c r="L13" s="14">
        <v>1108876393</v>
      </c>
      <c r="M13" s="16">
        <v>0.3500353589645675</v>
      </c>
      <c r="N13" s="16">
        <v>0.1620150267793902</v>
      </c>
      <c r="O13" s="10">
        <v>3740805357</v>
      </c>
      <c r="P13" s="10">
        <v>0</v>
      </c>
      <c r="Q13" s="10">
        <v>0</v>
      </c>
      <c r="R13" s="10">
        <v>3740805357</v>
      </c>
      <c r="S13" s="10">
        <v>0</v>
      </c>
      <c r="T13" s="14">
        <v>3740805357</v>
      </c>
      <c r="U13" s="14">
        <v>3675980350</v>
      </c>
      <c r="V13" s="14">
        <v>64825007</v>
      </c>
      <c r="W13" s="14">
        <v>27376393</v>
      </c>
      <c r="X13" s="14">
        <v>27376393</v>
      </c>
      <c r="Y13" s="16">
        <v>0.155</v>
      </c>
      <c r="Z13" s="16"/>
      <c r="AA13" s="10">
        <v>2232200000</v>
      </c>
      <c r="AB13" s="10">
        <v>0</v>
      </c>
      <c r="AC13" s="10">
        <v>0</v>
      </c>
      <c r="AD13" s="10">
        <v>2232200000</v>
      </c>
      <c r="AE13" s="10">
        <v>0</v>
      </c>
      <c r="AF13" s="14">
        <v>2232200000</v>
      </c>
      <c r="AG13" s="14">
        <v>1081500000</v>
      </c>
      <c r="AH13" s="14">
        <v>1150700000</v>
      </c>
      <c r="AI13" s="14">
        <v>1081500000</v>
      </c>
      <c r="AJ13" s="14">
        <v>1081500000</v>
      </c>
      <c r="AK13" s="16"/>
      <c r="AL13" s="16"/>
      <c r="AM13" s="10">
        <v>0</v>
      </c>
      <c r="AN13" s="10">
        <v>0</v>
      </c>
      <c r="AO13" s="10">
        <v>0</v>
      </c>
      <c r="AP13" s="10">
        <v>0</v>
      </c>
      <c r="AQ13" s="10">
        <v>0</v>
      </c>
      <c r="AR13" s="14">
        <v>0</v>
      </c>
      <c r="AS13" s="14">
        <v>0</v>
      </c>
      <c r="AT13" s="14">
        <v>0</v>
      </c>
      <c r="AU13" s="14">
        <v>0</v>
      </c>
      <c r="AV13" s="14">
        <v>0</v>
      </c>
      <c r="AW13" s="16"/>
      <c r="AX13" s="16"/>
    </row>
    <row r="14" spans="1:50">
      <c r="A14" s="11" t="s">
        <v>241</v>
      </c>
      <c r="B14" s="11" t="s">
        <v>32</v>
      </c>
      <c r="C14" s="10">
        <v>2515000000</v>
      </c>
      <c r="D14" s="10">
        <v>0</v>
      </c>
      <c r="E14" s="10">
        <v>0</v>
      </c>
      <c r="F14" s="10">
        <v>2515000000</v>
      </c>
      <c r="G14" s="10">
        <v>0</v>
      </c>
      <c r="H14" s="14">
        <v>2515000000</v>
      </c>
      <c r="I14" s="14">
        <v>764367429</v>
      </c>
      <c r="J14" s="14">
        <v>1750632571</v>
      </c>
      <c r="K14" s="14">
        <v>764367429</v>
      </c>
      <c r="L14" s="14">
        <v>497391807</v>
      </c>
      <c r="M14" s="16">
        <v>0.3500353589645675</v>
      </c>
      <c r="N14" s="16">
        <v>0.1620150267793902</v>
      </c>
      <c r="O14" s="10">
        <v>0</v>
      </c>
      <c r="P14" s="10">
        <v>0</v>
      </c>
      <c r="Q14" s="10">
        <v>0</v>
      </c>
      <c r="R14" s="10">
        <v>0</v>
      </c>
      <c r="S14" s="10">
        <v>0</v>
      </c>
      <c r="T14" s="14">
        <v>0</v>
      </c>
      <c r="U14" s="14">
        <v>0</v>
      </c>
      <c r="V14" s="14">
        <v>0</v>
      </c>
      <c r="W14" s="14">
        <v>0</v>
      </c>
      <c r="X14" s="14">
        <v>0</v>
      </c>
      <c r="Y14" s="16">
        <v>0.155</v>
      </c>
      <c r="Z14" s="16"/>
      <c r="AA14" s="10">
        <v>2515000000</v>
      </c>
      <c r="AB14" s="10">
        <v>0</v>
      </c>
      <c r="AC14" s="10">
        <v>0</v>
      </c>
      <c r="AD14" s="10">
        <v>2515000000</v>
      </c>
      <c r="AE14" s="10">
        <v>0</v>
      </c>
      <c r="AF14" s="14">
        <v>2515000000</v>
      </c>
      <c r="AG14" s="14">
        <v>764367429</v>
      </c>
      <c r="AH14" s="14">
        <v>1750632571</v>
      </c>
      <c r="AI14" s="14">
        <v>764367429</v>
      </c>
      <c r="AJ14" s="14">
        <v>497391807</v>
      </c>
      <c r="AK14" s="16"/>
      <c r="AL14" s="16"/>
      <c r="AM14" s="10">
        <v>0</v>
      </c>
      <c r="AN14" s="10">
        <v>0</v>
      </c>
      <c r="AO14" s="10">
        <v>0</v>
      </c>
      <c r="AP14" s="10">
        <v>0</v>
      </c>
      <c r="AQ14" s="10">
        <v>0</v>
      </c>
      <c r="AR14" s="14">
        <v>0</v>
      </c>
      <c r="AS14" s="14">
        <v>0</v>
      </c>
      <c r="AT14" s="14">
        <v>0</v>
      </c>
      <c r="AU14" s="14">
        <v>0</v>
      </c>
      <c r="AV14" s="14">
        <v>0</v>
      </c>
      <c r="AW14" s="16"/>
      <c r="AX14" s="16"/>
    </row>
    <row r="15" spans="1:50">
      <c r="A15" s="11" t="s">
        <v>241</v>
      </c>
      <c r="B15" s="11" t="s">
        <v>34</v>
      </c>
      <c r="C15" s="10">
        <v>9364584567</v>
      </c>
      <c r="D15" s="10">
        <v>0</v>
      </c>
      <c r="E15" s="10">
        <v>0</v>
      </c>
      <c r="F15" s="10">
        <v>9364584567</v>
      </c>
      <c r="G15" s="10">
        <v>0</v>
      </c>
      <c r="H15" s="14">
        <v>9364584567</v>
      </c>
      <c r="I15" s="14">
        <v>659269151</v>
      </c>
      <c r="J15" s="14">
        <v>8705315416</v>
      </c>
      <c r="K15" s="14">
        <v>439512791</v>
      </c>
      <c r="L15" s="14">
        <v>439512791</v>
      </c>
      <c r="M15" s="16">
        <v>0.3500353589645675</v>
      </c>
      <c r="N15" s="16">
        <v>0.1620150267793902</v>
      </c>
      <c r="O15" s="10">
        <v>0</v>
      </c>
      <c r="P15" s="10">
        <v>0</v>
      </c>
      <c r="Q15" s="10">
        <v>0</v>
      </c>
      <c r="R15" s="10">
        <v>0</v>
      </c>
      <c r="S15" s="10">
        <v>0</v>
      </c>
      <c r="T15" s="14">
        <v>0</v>
      </c>
      <c r="U15" s="14">
        <v>0</v>
      </c>
      <c r="V15" s="14">
        <v>0</v>
      </c>
      <c r="W15" s="14">
        <v>0</v>
      </c>
      <c r="X15" s="14">
        <v>0</v>
      </c>
      <c r="Y15" s="16">
        <v>0.155</v>
      </c>
      <c r="Z15" s="16"/>
      <c r="AA15" s="10">
        <v>2822000000</v>
      </c>
      <c r="AB15" s="10">
        <v>0</v>
      </c>
      <c r="AC15" s="10">
        <v>0</v>
      </c>
      <c r="AD15" s="10">
        <v>2822000000</v>
      </c>
      <c r="AE15" s="10">
        <v>0</v>
      </c>
      <c r="AF15" s="14">
        <v>2822000000</v>
      </c>
      <c r="AG15" s="14">
        <v>659269151</v>
      </c>
      <c r="AH15" s="14">
        <v>2162730849</v>
      </c>
      <c r="AI15" s="14">
        <v>439512791</v>
      </c>
      <c r="AJ15" s="14">
        <v>439512791</v>
      </c>
      <c r="AK15" s="16"/>
      <c r="AL15" s="16"/>
      <c r="AM15" s="10">
        <v>6542584567</v>
      </c>
      <c r="AN15" s="10">
        <v>0</v>
      </c>
      <c r="AO15" s="10">
        <v>0</v>
      </c>
      <c r="AP15" s="10">
        <v>6542584567</v>
      </c>
      <c r="AQ15" s="10">
        <v>0</v>
      </c>
      <c r="AR15" s="14">
        <v>6542584567</v>
      </c>
      <c r="AS15" s="14">
        <v>0</v>
      </c>
      <c r="AT15" s="14">
        <v>6542584567</v>
      </c>
      <c r="AU15" s="14">
        <v>0</v>
      </c>
      <c r="AV15" s="14">
        <v>0</v>
      </c>
      <c r="AW15" s="16"/>
      <c r="AX15" s="16"/>
    </row>
    <row r="16" spans="1:50">
      <c r="A16" s="11" t="s">
        <v>241</v>
      </c>
      <c r="B16" s="11" t="s">
        <v>33</v>
      </c>
      <c r="C16" s="10">
        <v>2729000000</v>
      </c>
      <c r="D16" s="10">
        <v>0</v>
      </c>
      <c r="E16" s="10">
        <v>0</v>
      </c>
      <c r="F16" s="10">
        <v>2729000000</v>
      </c>
      <c r="G16" s="10">
        <v>0</v>
      </c>
      <c r="H16" s="14">
        <v>2729000000</v>
      </c>
      <c r="I16" s="14">
        <v>1058986116.2</v>
      </c>
      <c r="J16" s="14">
        <v>1670013883.8</v>
      </c>
      <c r="K16" s="14">
        <v>933422500</v>
      </c>
      <c r="L16" s="14">
        <v>933422500</v>
      </c>
      <c r="M16" s="16">
        <v>0.3500353589645675</v>
      </c>
      <c r="N16" s="16">
        <v>0.1620150267793902</v>
      </c>
      <c r="O16" s="10">
        <v>0</v>
      </c>
      <c r="P16" s="10">
        <v>0</v>
      </c>
      <c r="Q16" s="10">
        <v>0</v>
      </c>
      <c r="R16" s="10">
        <v>0</v>
      </c>
      <c r="S16" s="10">
        <v>0</v>
      </c>
      <c r="T16" s="14">
        <v>0</v>
      </c>
      <c r="U16" s="14">
        <v>0</v>
      </c>
      <c r="V16" s="14">
        <v>0</v>
      </c>
      <c r="W16" s="14">
        <v>0</v>
      </c>
      <c r="X16" s="14">
        <v>0</v>
      </c>
      <c r="Y16" s="16">
        <v>0.155</v>
      </c>
      <c r="Z16" s="16"/>
      <c r="AA16" s="10">
        <v>2729000000</v>
      </c>
      <c r="AB16" s="10">
        <v>0</v>
      </c>
      <c r="AC16" s="10">
        <v>0</v>
      </c>
      <c r="AD16" s="10">
        <v>2729000000</v>
      </c>
      <c r="AE16" s="10">
        <v>0</v>
      </c>
      <c r="AF16" s="14">
        <v>2729000000</v>
      </c>
      <c r="AG16" s="14">
        <v>1058986116.2</v>
      </c>
      <c r="AH16" s="14">
        <v>1670013883.8</v>
      </c>
      <c r="AI16" s="14">
        <v>933422500</v>
      </c>
      <c r="AJ16" s="14">
        <v>933422500</v>
      </c>
      <c r="AK16" s="16"/>
      <c r="AL16" s="16"/>
      <c r="AM16" s="10">
        <v>0</v>
      </c>
      <c r="AN16" s="10">
        <v>0</v>
      </c>
      <c r="AO16" s="10">
        <v>0</v>
      </c>
      <c r="AP16" s="10">
        <v>0</v>
      </c>
      <c r="AQ16" s="10">
        <v>0</v>
      </c>
      <c r="AR16" s="14">
        <v>0</v>
      </c>
      <c r="AS16" s="14">
        <v>0</v>
      </c>
      <c r="AT16" s="14">
        <v>0</v>
      </c>
      <c r="AU16" s="14">
        <v>0</v>
      </c>
      <c r="AV16" s="14">
        <v>0</v>
      </c>
      <c r="AW16" s="16"/>
      <c r="AX16" s="16"/>
    </row>
    <row r="17" spans="1:50">
      <c r="A17" s="11" t="s">
        <v>241</v>
      </c>
      <c r="B17" s="11" t="s">
        <v>35</v>
      </c>
      <c r="C17" s="10">
        <v>5344404273</v>
      </c>
      <c r="D17" s="10">
        <v>0</v>
      </c>
      <c r="E17" s="10">
        <v>0</v>
      </c>
      <c r="F17" s="10">
        <v>5344404273</v>
      </c>
      <c r="G17" s="10">
        <v>0</v>
      </c>
      <c r="H17" s="14">
        <v>5344404273</v>
      </c>
      <c r="I17" s="14">
        <v>1258464060</v>
      </c>
      <c r="J17" s="14">
        <v>4085940213</v>
      </c>
      <c r="K17" s="14">
        <v>1258464060</v>
      </c>
      <c r="L17" s="14">
        <v>1165035460</v>
      </c>
      <c r="M17" s="16">
        <v>0.3500353589645675</v>
      </c>
      <c r="N17" s="16">
        <v>0.1620150267793902</v>
      </c>
      <c r="O17" s="10">
        <v>0</v>
      </c>
      <c r="P17" s="10">
        <v>0</v>
      </c>
      <c r="Q17" s="10">
        <v>0</v>
      </c>
      <c r="R17" s="10">
        <v>0</v>
      </c>
      <c r="S17" s="10">
        <v>0</v>
      </c>
      <c r="T17" s="14">
        <v>0</v>
      </c>
      <c r="U17" s="14">
        <v>0</v>
      </c>
      <c r="V17" s="14">
        <v>0</v>
      </c>
      <c r="W17" s="14">
        <v>0</v>
      </c>
      <c r="X17" s="14">
        <v>0</v>
      </c>
      <c r="Y17" s="16">
        <v>0.155</v>
      </c>
      <c r="Z17" s="16"/>
      <c r="AA17" s="10">
        <v>5245026400</v>
      </c>
      <c r="AB17" s="10">
        <v>0</v>
      </c>
      <c r="AC17" s="10">
        <v>0</v>
      </c>
      <c r="AD17" s="10">
        <v>5245026400</v>
      </c>
      <c r="AE17" s="10">
        <v>0</v>
      </c>
      <c r="AF17" s="14">
        <v>5245026400</v>
      </c>
      <c r="AG17" s="14">
        <v>1258464060</v>
      </c>
      <c r="AH17" s="14">
        <v>3986562340</v>
      </c>
      <c r="AI17" s="14">
        <v>1258464060</v>
      </c>
      <c r="AJ17" s="14">
        <v>1165035460</v>
      </c>
      <c r="AK17" s="16"/>
      <c r="AL17" s="16"/>
      <c r="AM17" s="10">
        <v>99377873</v>
      </c>
      <c r="AN17" s="10">
        <v>0</v>
      </c>
      <c r="AO17" s="10">
        <v>0</v>
      </c>
      <c r="AP17" s="10">
        <v>99377873</v>
      </c>
      <c r="AQ17" s="10">
        <v>0</v>
      </c>
      <c r="AR17" s="14">
        <v>99377873</v>
      </c>
      <c r="AS17" s="14">
        <v>0</v>
      </c>
      <c r="AT17" s="14">
        <v>99377873</v>
      </c>
      <c r="AU17" s="14">
        <v>0</v>
      </c>
      <c r="AV17" s="14">
        <v>0</v>
      </c>
      <c r="AW17" s="16"/>
      <c r="AX17" s="16"/>
    </row>
    <row r="18" spans="1:50">
      <c r="A18" s="11" t="s">
        <v>241</v>
      </c>
      <c r="B18" s="11" t="s">
        <v>36</v>
      </c>
      <c r="C18" s="10">
        <v>2996582962</v>
      </c>
      <c r="D18" s="10">
        <v>0</v>
      </c>
      <c r="E18" s="10">
        <v>0</v>
      </c>
      <c r="F18" s="10">
        <v>2996582962</v>
      </c>
      <c r="G18" s="10">
        <v>0</v>
      </c>
      <c r="H18" s="14">
        <v>2996582962</v>
      </c>
      <c r="I18" s="14">
        <v>441645128</v>
      </c>
      <c r="J18" s="14">
        <v>2554937834</v>
      </c>
      <c r="K18" s="14">
        <v>216760317</v>
      </c>
      <c r="L18" s="14">
        <v>0</v>
      </c>
      <c r="M18" s="16">
        <v>0.3500353589645675</v>
      </c>
      <c r="N18" s="16">
        <v>0.1620150267793902</v>
      </c>
      <c r="O18" s="10">
        <v>0</v>
      </c>
      <c r="P18" s="10">
        <v>0</v>
      </c>
      <c r="Q18" s="10">
        <v>0</v>
      </c>
      <c r="R18" s="10">
        <v>0</v>
      </c>
      <c r="S18" s="10">
        <v>0</v>
      </c>
      <c r="T18" s="14">
        <v>0</v>
      </c>
      <c r="U18" s="14">
        <v>0</v>
      </c>
      <c r="V18" s="14">
        <v>0</v>
      </c>
      <c r="W18" s="14">
        <v>0</v>
      </c>
      <c r="X18" s="14">
        <v>0</v>
      </c>
      <c r="Y18" s="16">
        <v>0.155</v>
      </c>
      <c r="Z18" s="16"/>
      <c r="AA18" s="10">
        <v>2458500000</v>
      </c>
      <c r="AB18" s="10">
        <v>0</v>
      </c>
      <c r="AC18" s="10">
        <v>0</v>
      </c>
      <c r="AD18" s="10">
        <v>2458500000</v>
      </c>
      <c r="AE18" s="10">
        <v>0</v>
      </c>
      <c r="AF18" s="14">
        <v>2458500000</v>
      </c>
      <c r="AG18" s="14">
        <v>441645128</v>
      </c>
      <c r="AH18" s="14">
        <v>2016854872</v>
      </c>
      <c r="AI18" s="14">
        <v>216760317</v>
      </c>
      <c r="AJ18" s="14">
        <v>0</v>
      </c>
      <c r="AK18" s="16"/>
      <c r="AL18" s="16"/>
      <c r="AM18" s="10">
        <v>538082962</v>
      </c>
      <c r="AN18" s="10">
        <v>0</v>
      </c>
      <c r="AO18" s="10">
        <v>0</v>
      </c>
      <c r="AP18" s="10">
        <v>538082962</v>
      </c>
      <c r="AQ18" s="10">
        <v>0</v>
      </c>
      <c r="AR18" s="14">
        <v>538082962</v>
      </c>
      <c r="AS18" s="14">
        <v>0</v>
      </c>
      <c r="AT18" s="14">
        <v>538082962</v>
      </c>
      <c r="AU18" s="14">
        <v>0</v>
      </c>
      <c r="AV18" s="14">
        <v>0</v>
      </c>
      <c r="AW18" s="16"/>
      <c r="AX18" s="16"/>
    </row>
    <row r="19" spans="1:50">
      <c r="A19" s="11" t="s">
        <v>241</v>
      </c>
      <c r="B19" s="11" t="s">
        <v>37</v>
      </c>
      <c r="C19" s="10">
        <v>3211565586</v>
      </c>
      <c r="D19" s="10">
        <v>0</v>
      </c>
      <c r="E19" s="10">
        <v>0</v>
      </c>
      <c r="F19" s="10">
        <v>3211565586</v>
      </c>
      <c r="G19" s="10">
        <v>0</v>
      </c>
      <c r="H19" s="14">
        <v>3211565586</v>
      </c>
      <c r="I19" s="14">
        <v>824759460.03999996</v>
      </c>
      <c r="J19" s="14">
        <v>2386806125.96</v>
      </c>
      <c r="K19" s="14">
        <v>821190170.03999996</v>
      </c>
      <c r="L19" s="14">
        <v>821190170.03999996</v>
      </c>
      <c r="M19" s="16">
        <v>0.3500353589645675</v>
      </c>
      <c r="N19" s="16">
        <v>0.1620150267793902</v>
      </c>
      <c r="O19" s="10">
        <v>0</v>
      </c>
      <c r="P19" s="10">
        <v>0</v>
      </c>
      <c r="Q19" s="10">
        <v>0</v>
      </c>
      <c r="R19" s="10">
        <v>0</v>
      </c>
      <c r="S19" s="10">
        <v>0</v>
      </c>
      <c r="T19" s="14">
        <v>0</v>
      </c>
      <c r="U19" s="14">
        <v>0</v>
      </c>
      <c r="V19" s="14">
        <v>0</v>
      </c>
      <c r="W19" s="14">
        <v>0</v>
      </c>
      <c r="X19" s="14">
        <v>0</v>
      </c>
      <c r="Y19" s="16">
        <v>0.155</v>
      </c>
      <c r="Z19" s="16"/>
      <c r="AA19" s="10">
        <v>2479000000</v>
      </c>
      <c r="AB19" s="10">
        <v>0</v>
      </c>
      <c r="AC19" s="10">
        <v>0</v>
      </c>
      <c r="AD19" s="10">
        <v>2479000000</v>
      </c>
      <c r="AE19" s="10">
        <v>0</v>
      </c>
      <c r="AF19" s="14">
        <v>2479000000</v>
      </c>
      <c r="AG19" s="14">
        <v>824759460.03999996</v>
      </c>
      <c r="AH19" s="14">
        <v>1654240539.96</v>
      </c>
      <c r="AI19" s="14">
        <v>821190170.03999996</v>
      </c>
      <c r="AJ19" s="14">
        <v>821190170.03999996</v>
      </c>
      <c r="AK19" s="16"/>
      <c r="AL19" s="16"/>
      <c r="AM19" s="10">
        <v>732565586</v>
      </c>
      <c r="AN19" s="10">
        <v>0</v>
      </c>
      <c r="AO19" s="10">
        <v>0</v>
      </c>
      <c r="AP19" s="10">
        <v>732565586</v>
      </c>
      <c r="AQ19" s="10">
        <v>0</v>
      </c>
      <c r="AR19" s="14">
        <v>732565586</v>
      </c>
      <c r="AS19" s="14">
        <v>0</v>
      </c>
      <c r="AT19" s="14">
        <v>732565586</v>
      </c>
      <c r="AU19" s="14">
        <v>0</v>
      </c>
      <c r="AV19" s="14">
        <v>0</v>
      </c>
      <c r="AW19" s="16"/>
      <c r="AX19" s="16"/>
    </row>
    <row r="20" spans="1:50">
      <c r="A20" s="11" t="s">
        <v>241</v>
      </c>
      <c r="B20" s="11" t="s">
        <v>39</v>
      </c>
      <c r="C20" s="10">
        <v>4447705576</v>
      </c>
      <c r="D20" s="10">
        <v>0</v>
      </c>
      <c r="E20" s="10">
        <v>0</v>
      </c>
      <c r="F20" s="10">
        <v>4447705576</v>
      </c>
      <c r="G20" s="10">
        <v>0</v>
      </c>
      <c r="H20" s="14">
        <v>4447705576</v>
      </c>
      <c r="I20" s="14">
        <v>869443158</v>
      </c>
      <c r="J20" s="14">
        <v>3578262418</v>
      </c>
      <c r="K20" s="14">
        <v>830443158</v>
      </c>
      <c r="L20" s="14">
        <v>830443158</v>
      </c>
      <c r="M20" s="16">
        <v>0.3500353589645675</v>
      </c>
      <c r="N20" s="16">
        <v>0.1620150267793902</v>
      </c>
      <c r="O20" s="10">
        <v>0</v>
      </c>
      <c r="P20" s="10">
        <v>0</v>
      </c>
      <c r="Q20" s="10">
        <v>0</v>
      </c>
      <c r="R20" s="10">
        <v>0</v>
      </c>
      <c r="S20" s="10">
        <v>0</v>
      </c>
      <c r="T20" s="14">
        <v>0</v>
      </c>
      <c r="U20" s="14">
        <v>0</v>
      </c>
      <c r="V20" s="14">
        <v>0</v>
      </c>
      <c r="W20" s="14">
        <v>0</v>
      </c>
      <c r="X20" s="14">
        <v>0</v>
      </c>
      <c r="Y20" s="16">
        <v>0.155</v>
      </c>
      <c r="Z20" s="16"/>
      <c r="AA20" s="10">
        <v>4164000000</v>
      </c>
      <c r="AB20" s="10">
        <v>0</v>
      </c>
      <c r="AC20" s="10">
        <v>0</v>
      </c>
      <c r="AD20" s="10">
        <v>4164000000</v>
      </c>
      <c r="AE20" s="10">
        <v>0</v>
      </c>
      <c r="AF20" s="14">
        <v>4164000000</v>
      </c>
      <c r="AG20" s="14">
        <v>869443158</v>
      </c>
      <c r="AH20" s="14">
        <v>3294556842</v>
      </c>
      <c r="AI20" s="14">
        <v>830443158</v>
      </c>
      <c r="AJ20" s="14">
        <v>830443158</v>
      </c>
      <c r="AK20" s="16"/>
      <c r="AL20" s="16"/>
      <c r="AM20" s="10">
        <v>283705576</v>
      </c>
      <c r="AN20" s="10">
        <v>0</v>
      </c>
      <c r="AO20" s="10">
        <v>0</v>
      </c>
      <c r="AP20" s="10">
        <v>283705576</v>
      </c>
      <c r="AQ20" s="10">
        <v>0</v>
      </c>
      <c r="AR20" s="14">
        <v>283705576</v>
      </c>
      <c r="AS20" s="14">
        <v>0</v>
      </c>
      <c r="AT20" s="14">
        <v>283705576</v>
      </c>
      <c r="AU20" s="14">
        <v>0</v>
      </c>
      <c r="AV20" s="14">
        <v>0</v>
      </c>
      <c r="AW20" s="16"/>
      <c r="AX20" s="16"/>
    </row>
    <row r="21" spans="1:50">
      <c r="A21" s="11" t="s">
        <v>241</v>
      </c>
      <c r="B21" s="11" t="s">
        <v>38</v>
      </c>
      <c r="C21" s="10">
        <v>3691190110</v>
      </c>
      <c r="D21" s="10">
        <v>0</v>
      </c>
      <c r="E21" s="10">
        <v>0</v>
      </c>
      <c r="F21" s="10">
        <v>3691190110</v>
      </c>
      <c r="G21" s="10">
        <v>0</v>
      </c>
      <c r="H21" s="14">
        <v>3691190110</v>
      </c>
      <c r="I21" s="14">
        <v>763000000</v>
      </c>
      <c r="J21" s="14">
        <v>2928190110</v>
      </c>
      <c r="K21" s="14">
        <v>763000000</v>
      </c>
      <c r="L21" s="14">
        <v>763000000</v>
      </c>
      <c r="M21" s="16">
        <v>0.3500353589645675</v>
      </c>
      <c r="N21" s="16">
        <v>0.1620150267793902</v>
      </c>
      <c r="O21" s="10">
        <v>0</v>
      </c>
      <c r="P21" s="10">
        <v>0</v>
      </c>
      <c r="Q21" s="10">
        <v>0</v>
      </c>
      <c r="R21" s="10">
        <v>0</v>
      </c>
      <c r="S21" s="10">
        <v>0</v>
      </c>
      <c r="T21" s="14">
        <v>0</v>
      </c>
      <c r="U21" s="14">
        <v>0</v>
      </c>
      <c r="V21" s="14">
        <v>0</v>
      </c>
      <c r="W21" s="14">
        <v>0</v>
      </c>
      <c r="X21" s="14">
        <v>0</v>
      </c>
      <c r="Y21" s="16">
        <v>0.155</v>
      </c>
      <c r="Z21" s="16"/>
      <c r="AA21" s="10">
        <v>3175000000</v>
      </c>
      <c r="AB21" s="10">
        <v>0</v>
      </c>
      <c r="AC21" s="10">
        <v>0</v>
      </c>
      <c r="AD21" s="10">
        <v>3175000000</v>
      </c>
      <c r="AE21" s="10">
        <v>0</v>
      </c>
      <c r="AF21" s="14">
        <v>3175000000</v>
      </c>
      <c r="AG21" s="14">
        <v>763000000</v>
      </c>
      <c r="AH21" s="14">
        <v>2412000000</v>
      </c>
      <c r="AI21" s="14">
        <v>763000000</v>
      </c>
      <c r="AJ21" s="14">
        <v>763000000</v>
      </c>
      <c r="AK21" s="16"/>
      <c r="AL21" s="16"/>
      <c r="AM21" s="10">
        <v>516190110</v>
      </c>
      <c r="AN21" s="10">
        <v>0</v>
      </c>
      <c r="AO21" s="10">
        <v>0</v>
      </c>
      <c r="AP21" s="10">
        <v>516190110</v>
      </c>
      <c r="AQ21" s="10">
        <v>0</v>
      </c>
      <c r="AR21" s="14">
        <v>516190110</v>
      </c>
      <c r="AS21" s="14">
        <v>0</v>
      </c>
      <c r="AT21" s="14">
        <v>516190110</v>
      </c>
      <c r="AU21" s="14">
        <v>0</v>
      </c>
      <c r="AV21" s="14">
        <v>0</v>
      </c>
      <c r="AW21" s="16"/>
      <c r="AX21" s="16"/>
    </row>
    <row r="22" spans="1:50">
      <c r="A22" s="11" t="s">
        <v>241</v>
      </c>
      <c r="B22" s="11" t="s">
        <v>41</v>
      </c>
      <c r="C22" s="10">
        <v>2417000000</v>
      </c>
      <c r="D22" s="10">
        <v>0</v>
      </c>
      <c r="E22" s="10">
        <v>0</v>
      </c>
      <c r="F22" s="10">
        <v>2417000000</v>
      </c>
      <c r="G22" s="10">
        <v>0</v>
      </c>
      <c r="H22" s="14">
        <v>2417000000</v>
      </c>
      <c r="I22" s="14">
        <v>547475203</v>
      </c>
      <c r="J22" s="14">
        <v>1869524797</v>
      </c>
      <c r="K22" s="14">
        <v>547475203</v>
      </c>
      <c r="L22" s="14">
        <v>547475203</v>
      </c>
      <c r="M22" s="16">
        <v>0.3500353589645675</v>
      </c>
      <c r="N22" s="16">
        <v>0.1620150267793902</v>
      </c>
      <c r="O22" s="10">
        <v>0</v>
      </c>
      <c r="P22" s="10">
        <v>0</v>
      </c>
      <c r="Q22" s="10">
        <v>0</v>
      </c>
      <c r="R22" s="10">
        <v>0</v>
      </c>
      <c r="S22" s="10">
        <v>0</v>
      </c>
      <c r="T22" s="14">
        <v>0</v>
      </c>
      <c r="U22" s="14">
        <v>0</v>
      </c>
      <c r="V22" s="14">
        <v>0</v>
      </c>
      <c r="W22" s="14">
        <v>0</v>
      </c>
      <c r="X22" s="14">
        <v>0</v>
      </c>
      <c r="Y22" s="16">
        <v>0.155</v>
      </c>
      <c r="Z22" s="16"/>
      <c r="AA22" s="10">
        <v>2417000000</v>
      </c>
      <c r="AB22" s="10">
        <v>0</v>
      </c>
      <c r="AC22" s="10">
        <v>0</v>
      </c>
      <c r="AD22" s="10">
        <v>2417000000</v>
      </c>
      <c r="AE22" s="10">
        <v>0</v>
      </c>
      <c r="AF22" s="14">
        <v>2417000000</v>
      </c>
      <c r="AG22" s="14">
        <v>547475203</v>
      </c>
      <c r="AH22" s="14">
        <v>1869524797</v>
      </c>
      <c r="AI22" s="14">
        <v>547475203</v>
      </c>
      <c r="AJ22" s="14">
        <v>547475203</v>
      </c>
      <c r="AK22" s="16"/>
      <c r="AL22" s="16"/>
      <c r="AM22" s="10">
        <v>0</v>
      </c>
      <c r="AN22" s="10">
        <v>0</v>
      </c>
      <c r="AO22" s="10">
        <v>0</v>
      </c>
      <c r="AP22" s="10">
        <v>0</v>
      </c>
      <c r="AQ22" s="10">
        <v>0</v>
      </c>
      <c r="AR22" s="14">
        <v>0</v>
      </c>
      <c r="AS22" s="14">
        <v>0</v>
      </c>
      <c r="AT22" s="14">
        <v>0</v>
      </c>
      <c r="AU22" s="14">
        <v>0</v>
      </c>
      <c r="AV22" s="14">
        <v>0</v>
      </c>
      <c r="AW22" s="16"/>
      <c r="AX22" s="16"/>
    </row>
    <row r="23" spans="1:50">
      <c r="A23" s="11" t="s">
        <v>241</v>
      </c>
      <c r="B23" s="11" t="s">
        <v>42</v>
      </c>
      <c r="C23" s="10">
        <v>5911894103</v>
      </c>
      <c r="D23" s="10">
        <v>0</v>
      </c>
      <c r="E23" s="10">
        <v>0</v>
      </c>
      <c r="F23" s="10">
        <v>5911894103</v>
      </c>
      <c r="G23" s="10">
        <v>0</v>
      </c>
      <c r="H23" s="14">
        <v>5911894103</v>
      </c>
      <c r="I23" s="14">
        <v>0</v>
      </c>
      <c r="J23" s="14">
        <v>5911894103</v>
      </c>
      <c r="K23" s="14">
        <v>0</v>
      </c>
      <c r="L23" s="14">
        <v>0</v>
      </c>
      <c r="M23" s="16">
        <v>0.3500353589645675</v>
      </c>
      <c r="N23" s="16">
        <v>0.1620150267793902</v>
      </c>
      <c r="O23" s="10">
        <v>1900594103</v>
      </c>
      <c r="P23" s="10">
        <v>0</v>
      </c>
      <c r="Q23" s="10">
        <v>0</v>
      </c>
      <c r="R23" s="10">
        <v>1900594103</v>
      </c>
      <c r="S23" s="10">
        <v>0</v>
      </c>
      <c r="T23" s="14">
        <v>1900594103</v>
      </c>
      <c r="U23" s="14">
        <v>0</v>
      </c>
      <c r="V23" s="14">
        <v>1900594103</v>
      </c>
      <c r="W23" s="14">
        <v>0</v>
      </c>
      <c r="X23" s="14">
        <v>0</v>
      </c>
      <c r="Y23" s="16">
        <v>0.155</v>
      </c>
      <c r="Z23" s="16"/>
      <c r="AA23" s="10">
        <v>4011300000</v>
      </c>
      <c r="AB23" s="10">
        <v>0</v>
      </c>
      <c r="AC23" s="10">
        <v>0</v>
      </c>
      <c r="AD23" s="10">
        <v>4011300000</v>
      </c>
      <c r="AE23" s="10">
        <v>0</v>
      </c>
      <c r="AF23" s="14">
        <v>4011300000</v>
      </c>
      <c r="AG23" s="14">
        <v>0</v>
      </c>
      <c r="AH23" s="14">
        <v>4011300000</v>
      </c>
      <c r="AI23" s="14">
        <v>0</v>
      </c>
      <c r="AJ23" s="14">
        <v>0</v>
      </c>
      <c r="AK23" s="16"/>
      <c r="AL23" s="16"/>
      <c r="AM23" s="10">
        <v>0</v>
      </c>
      <c r="AN23" s="10">
        <v>0</v>
      </c>
      <c r="AO23" s="10">
        <v>0</v>
      </c>
      <c r="AP23" s="10">
        <v>0</v>
      </c>
      <c r="AQ23" s="10">
        <v>0</v>
      </c>
      <c r="AR23" s="14">
        <v>0</v>
      </c>
      <c r="AS23" s="14">
        <v>0</v>
      </c>
      <c r="AT23" s="14">
        <v>0</v>
      </c>
      <c r="AU23" s="14">
        <v>0</v>
      </c>
      <c r="AV23" s="14">
        <v>0</v>
      </c>
      <c r="AW23" s="16"/>
      <c r="AX23" s="16"/>
    </row>
    <row r="24" spans="1:50">
      <c r="A24" s="11" t="s">
        <v>241</v>
      </c>
      <c r="B24" s="11" t="s">
        <v>43</v>
      </c>
      <c r="C24" s="10">
        <v>840575000</v>
      </c>
      <c r="D24" s="10">
        <v>0</v>
      </c>
      <c r="E24" s="10">
        <v>0</v>
      </c>
      <c r="F24" s="10">
        <v>840575000</v>
      </c>
      <c r="G24" s="10">
        <v>0</v>
      </c>
      <c r="H24" s="14">
        <v>840575000</v>
      </c>
      <c r="I24" s="14">
        <v>103942155</v>
      </c>
      <c r="J24" s="14">
        <v>736632845</v>
      </c>
      <c r="K24" s="14">
        <v>100000000</v>
      </c>
      <c r="L24" s="14">
        <v>100000000</v>
      </c>
      <c r="M24" s="16">
        <v>0.3500353589645675</v>
      </c>
      <c r="N24" s="16">
        <v>0.1620150267793902</v>
      </c>
      <c r="O24" s="10">
        <v>0</v>
      </c>
      <c r="P24" s="10">
        <v>0</v>
      </c>
      <c r="Q24" s="10">
        <v>0</v>
      </c>
      <c r="R24" s="10">
        <v>0</v>
      </c>
      <c r="S24" s="10">
        <v>0</v>
      </c>
      <c r="T24" s="14">
        <v>0</v>
      </c>
      <c r="U24" s="14">
        <v>0</v>
      </c>
      <c r="V24" s="14">
        <v>0</v>
      </c>
      <c r="W24" s="14">
        <v>0</v>
      </c>
      <c r="X24" s="14">
        <v>0</v>
      </c>
      <c r="Y24" s="16">
        <v>0.155</v>
      </c>
      <c r="Z24" s="16"/>
      <c r="AA24" s="10">
        <v>840575000</v>
      </c>
      <c r="AB24" s="10">
        <v>0</v>
      </c>
      <c r="AC24" s="10">
        <v>0</v>
      </c>
      <c r="AD24" s="10">
        <v>840575000</v>
      </c>
      <c r="AE24" s="10">
        <v>0</v>
      </c>
      <c r="AF24" s="14">
        <v>840575000</v>
      </c>
      <c r="AG24" s="14">
        <v>103942155</v>
      </c>
      <c r="AH24" s="14">
        <v>736632845</v>
      </c>
      <c r="AI24" s="14">
        <v>100000000</v>
      </c>
      <c r="AJ24" s="14">
        <v>100000000</v>
      </c>
      <c r="AK24" s="16"/>
      <c r="AL24" s="16"/>
      <c r="AM24" s="10">
        <v>0</v>
      </c>
      <c r="AN24" s="10">
        <v>0</v>
      </c>
      <c r="AO24" s="10">
        <v>0</v>
      </c>
      <c r="AP24" s="10">
        <v>0</v>
      </c>
      <c r="AQ24" s="10">
        <v>0</v>
      </c>
      <c r="AR24" s="14">
        <v>0</v>
      </c>
      <c r="AS24" s="14">
        <v>0</v>
      </c>
      <c r="AT24" s="14">
        <v>0</v>
      </c>
      <c r="AU24" s="14">
        <v>0</v>
      </c>
      <c r="AV24" s="14">
        <v>0</v>
      </c>
      <c r="AW24" s="16"/>
      <c r="AX24" s="16"/>
    </row>
    <row r="25" spans="1:50">
      <c r="A25" s="11" t="s">
        <v>241</v>
      </c>
      <c r="B25" s="11" t="s">
        <v>44</v>
      </c>
      <c r="C25" s="10">
        <v>2507575906</v>
      </c>
      <c r="D25" s="10">
        <v>0</v>
      </c>
      <c r="E25" s="10">
        <v>0</v>
      </c>
      <c r="F25" s="10">
        <v>2507575906</v>
      </c>
      <c r="G25" s="10">
        <v>0</v>
      </c>
      <c r="H25" s="14">
        <v>2507575906</v>
      </c>
      <c r="I25" s="14">
        <v>814706932</v>
      </c>
      <c r="J25" s="14">
        <v>1692868974</v>
      </c>
      <c r="K25" s="14">
        <v>746449898</v>
      </c>
      <c r="L25" s="14">
        <v>697812847</v>
      </c>
      <c r="M25" s="16">
        <v>0.3500353589645675</v>
      </c>
      <c r="N25" s="16">
        <v>0.1620150267793902</v>
      </c>
      <c r="O25" s="10">
        <v>0</v>
      </c>
      <c r="P25" s="10">
        <v>0</v>
      </c>
      <c r="Q25" s="10">
        <v>0</v>
      </c>
      <c r="R25" s="10">
        <v>0</v>
      </c>
      <c r="S25" s="10">
        <v>0</v>
      </c>
      <c r="T25" s="14">
        <v>0</v>
      </c>
      <c r="U25" s="14">
        <v>0</v>
      </c>
      <c r="V25" s="14">
        <v>0</v>
      </c>
      <c r="W25" s="14">
        <v>0</v>
      </c>
      <c r="X25" s="14">
        <v>0</v>
      </c>
      <c r="Y25" s="16">
        <v>0.155</v>
      </c>
      <c r="Z25" s="16"/>
      <c r="AA25" s="10">
        <v>2469540920</v>
      </c>
      <c r="AB25" s="10">
        <v>0</v>
      </c>
      <c r="AC25" s="10">
        <v>0</v>
      </c>
      <c r="AD25" s="10">
        <v>2469540920</v>
      </c>
      <c r="AE25" s="10">
        <v>0</v>
      </c>
      <c r="AF25" s="14">
        <v>2469540920</v>
      </c>
      <c r="AG25" s="14">
        <v>814706932</v>
      </c>
      <c r="AH25" s="14">
        <v>1654833988</v>
      </c>
      <c r="AI25" s="14">
        <v>746449898</v>
      </c>
      <c r="AJ25" s="14">
        <v>697812847</v>
      </c>
      <c r="AK25" s="16"/>
      <c r="AL25" s="16"/>
      <c r="AM25" s="10">
        <v>38034986</v>
      </c>
      <c r="AN25" s="10">
        <v>0</v>
      </c>
      <c r="AO25" s="10">
        <v>0</v>
      </c>
      <c r="AP25" s="10">
        <v>38034986</v>
      </c>
      <c r="AQ25" s="10">
        <v>0</v>
      </c>
      <c r="AR25" s="14">
        <v>38034986</v>
      </c>
      <c r="AS25" s="14">
        <v>0</v>
      </c>
      <c r="AT25" s="14">
        <v>38034986</v>
      </c>
      <c r="AU25" s="14">
        <v>0</v>
      </c>
      <c r="AV25" s="14">
        <v>0</v>
      </c>
      <c r="AW25" s="16"/>
      <c r="AX25" s="16"/>
    </row>
    <row r="26" spans="1:50">
      <c r="A26" s="11" t="s">
        <v>241</v>
      </c>
      <c r="B26" s="11" t="s">
        <v>219</v>
      </c>
      <c r="C26" s="10">
        <v>2779017000</v>
      </c>
      <c r="D26" s="10">
        <v>0</v>
      </c>
      <c r="E26" s="10">
        <v>0</v>
      </c>
      <c r="F26" s="10">
        <v>2779017000</v>
      </c>
      <c r="G26" s="10">
        <v>0</v>
      </c>
      <c r="H26" s="14">
        <v>2779017000</v>
      </c>
      <c r="I26" s="14">
        <v>934936057</v>
      </c>
      <c r="J26" s="14">
        <v>1844080943</v>
      </c>
      <c r="K26" s="14">
        <v>934936057</v>
      </c>
      <c r="L26" s="14">
        <v>934936057</v>
      </c>
      <c r="M26" s="16">
        <v>0.3500353589645675</v>
      </c>
      <c r="N26" s="16">
        <v>0.1620150267793902</v>
      </c>
      <c r="O26" s="10">
        <v>0</v>
      </c>
      <c r="P26" s="10">
        <v>0</v>
      </c>
      <c r="Q26" s="10">
        <v>0</v>
      </c>
      <c r="R26" s="10">
        <v>0</v>
      </c>
      <c r="S26" s="10">
        <v>0</v>
      </c>
      <c r="T26" s="14">
        <v>0</v>
      </c>
      <c r="U26" s="14">
        <v>0</v>
      </c>
      <c r="V26" s="14">
        <v>0</v>
      </c>
      <c r="W26" s="14">
        <v>0</v>
      </c>
      <c r="X26" s="14">
        <v>0</v>
      </c>
      <c r="Y26" s="16">
        <v>0.155</v>
      </c>
      <c r="Z26" s="16"/>
      <c r="AA26" s="10">
        <v>2779017000</v>
      </c>
      <c r="AB26" s="10">
        <v>0</v>
      </c>
      <c r="AC26" s="10">
        <v>0</v>
      </c>
      <c r="AD26" s="10">
        <v>2779017000</v>
      </c>
      <c r="AE26" s="10">
        <v>0</v>
      </c>
      <c r="AF26" s="14">
        <v>2779017000</v>
      </c>
      <c r="AG26" s="14">
        <v>934936057</v>
      </c>
      <c r="AH26" s="14">
        <v>1844080943</v>
      </c>
      <c r="AI26" s="14">
        <v>934936057</v>
      </c>
      <c r="AJ26" s="14">
        <v>934936057</v>
      </c>
      <c r="AK26" s="16"/>
      <c r="AL26" s="16"/>
      <c r="AM26" s="10">
        <v>0</v>
      </c>
      <c r="AN26" s="10">
        <v>0</v>
      </c>
      <c r="AO26" s="10">
        <v>0</v>
      </c>
      <c r="AP26" s="10">
        <v>0</v>
      </c>
      <c r="AQ26" s="10">
        <v>0</v>
      </c>
      <c r="AR26" s="14">
        <v>0</v>
      </c>
      <c r="AS26" s="14">
        <v>0</v>
      </c>
      <c r="AT26" s="14">
        <v>0</v>
      </c>
      <c r="AU26" s="14">
        <v>0</v>
      </c>
      <c r="AV26" s="14">
        <v>0</v>
      </c>
      <c r="AW26" s="16"/>
      <c r="AX26" s="16"/>
    </row>
    <row r="27" spans="1:50">
      <c r="A27" s="11" t="s">
        <v>241</v>
      </c>
      <c r="B27" s="11" t="s">
        <v>40</v>
      </c>
      <c r="C27" s="10">
        <v>6832064088</v>
      </c>
      <c r="D27" s="10">
        <v>0</v>
      </c>
      <c r="E27" s="10">
        <v>0</v>
      </c>
      <c r="F27" s="10">
        <v>6832064088</v>
      </c>
      <c r="G27" s="10">
        <v>0</v>
      </c>
      <c r="H27" s="14">
        <v>6832064088</v>
      </c>
      <c r="I27" s="14">
        <v>1900000000</v>
      </c>
      <c r="J27" s="14">
        <v>4932064088</v>
      </c>
      <c r="K27" s="14">
        <v>1900000000</v>
      </c>
      <c r="L27" s="14">
        <v>1900000000</v>
      </c>
      <c r="M27" s="16">
        <v>0.3500353589645675</v>
      </c>
      <c r="N27" s="16">
        <v>0.1620150267793902</v>
      </c>
      <c r="O27" s="10">
        <v>0</v>
      </c>
      <c r="P27" s="10">
        <v>0</v>
      </c>
      <c r="Q27" s="10">
        <v>0</v>
      </c>
      <c r="R27" s="10">
        <v>0</v>
      </c>
      <c r="S27" s="10">
        <v>0</v>
      </c>
      <c r="T27" s="14">
        <v>0</v>
      </c>
      <c r="U27" s="14">
        <v>0</v>
      </c>
      <c r="V27" s="14">
        <v>0</v>
      </c>
      <c r="W27" s="14">
        <v>0</v>
      </c>
      <c r="X27" s="14">
        <v>0</v>
      </c>
      <c r="Y27" s="16">
        <v>0.155</v>
      </c>
      <c r="Z27" s="16"/>
      <c r="AA27" s="10">
        <v>4183300000</v>
      </c>
      <c r="AB27" s="10">
        <v>0</v>
      </c>
      <c r="AC27" s="10">
        <v>0</v>
      </c>
      <c r="AD27" s="10">
        <v>4183300000</v>
      </c>
      <c r="AE27" s="10">
        <v>0</v>
      </c>
      <c r="AF27" s="14">
        <v>4183300000</v>
      </c>
      <c r="AG27" s="14">
        <v>1900000000</v>
      </c>
      <c r="AH27" s="14">
        <v>2283300000</v>
      </c>
      <c r="AI27" s="14">
        <v>1900000000</v>
      </c>
      <c r="AJ27" s="14">
        <v>1900000000</v>
      </c>
      <c r="AK27" s="16"/>
      <c r="AL27" s="16"/>
      <c r="AM27" s="10">
        <v>2648764088</v>
      </c>
      <c r="AN27" s="10">
        <v>0</v>
      </c>
      <c r="AO27" s="10">
        <v>0</v>
      </c>
      <c r="AP27" s="10">
        <v>2648764088</v>
      </c>
      <c r="AQ27" s="10">
        <v>0</v>
      </c>
      <c r="AR27" s="14">
        <v>2648764088</v>
      </c>
      <c r="AS27" s="14">
        <v>0</v>
      </c>
      <c r="AT27" s="14">
        <v>2648764088</v>
      </c>
      <c r="AU27" s="14">
        <v>0</v>
      </c>
      <c r="AV27" s="14">
        <v>0</v>
      </c>
      <c r="AW27" s="16"/>
      <c r="AX27" s="16"/>
    </row>
    <row r="28" spans="1:50">
      <c r="A28" s="11" t="s">
        <v>241</v>
      </c>
      <c r="B28" s="11" t="s">
        <v>45</v>
      </c>
      <c r="C28" s="10">
        <v>2437621743</v>
      </c>
      <c r="D28" s="10">
        <v>0</v>
      </c>
      <c r="E28" s="10">
        <v>0</v>
      </c>
      <c r="F28" s="10">
        <v>2437621743</v>
      </c>
      <c r="G28" s="10">
        <v>0</v>
      </c>
      <c r="H28" s="14">
        <v>2437621743</v>
      </c>
      <c r="I28" s="14">
        <v>619015555</v>
      </c>
      <c r="J28" s="14">
        <v>1818606188</v>
      </c>
      <c r="K28" s="14">
        <v>619015555</v>
      </c>
      <c r="L28" s="14">
        <v>619015555</v>
      </c>
      <c r="M28" s="16">
        <v>0.3500353589645675</v>
      </c>
      <c r="N28" s="16">
        <v>0.1620150267793902</v>
      </c>
      <c r="O28" s="10">
        <v>0</v>
      </c>
      <c r="P28" s="10">
        <v>0</v>
      </c>
      <c r="Q28" s="10">
        <v>0</v>
      </c>
      <c r="R28" s="10">
        <v>0</v>
      </c>
      <c r="S28" s="10">
        <v>0</v>
      </c>
      <c r="T28" s="14">
        <v>0</v>
      </c>
      <c r="U28" s="14">
        <v>0</v>
      </c>
      <c r="V28" s="14">
        <v>0</v>
      </c>
      <c r="W28" s="14">
        <v>0</v>
      </c>
      <c r="X28" s="14">
        <v>0</v>
      </c>
      <c r="Y28" s="16">
        <v>0.155</v>
      </c>
      <c r="Z28" s="16"/>
      <c r="AA28" s="10">
        <v>2330000000</v>
      </c>
      <c r="AB28" s="10">
        <v>0</v>
      </c>
      <c r="AC28" s="10">
        <v>0</v>
      </c>
      <c r="AD28" s="10">
        <v>2330000000</v>
      </c>
      <c r="AE28" s="10">
        <v>0</v>
      </c>
      <c r="AF28" s="14">
        <v>2330000000</v>
      </c>
      <c r="AG28" s="14">
        <v>619015555</v>
      </c>
      <c r="AH28" s="14">
        <v>1710984445</v>
      </c>
      <c r="AI28" s="14">
        <v>619015555</v>
      </c>
      <c r="AJ28" s="14">
        <v>619015555</v>
      </c>
      <c r="AK28" s="16"/>
      <c r="AL28" s="16"/>
      <c r="AM28" s="10">
        <v>107621743</v>
      </c>
      <c r="AN28" s="10">
        <v>0</v>
      </c>
      <c r="AO28" s="10">
        <v>0</v>
      </c>
      <c r="AP28" s="10">
        <v>107621743</v>
      </c>
      <c r="AQ28" s="10">
        <v>0</v>
      </c>
      <c r="AR28" s="14">
        <v>107621743</v>
      </c>
      <c r="AS28" s="14">
        <v>0</v>
      </c>
      <c r="AT28" s="14">
        <v>107621743</v>
      </c>
      <c r="AU28" s="14">
        <v>0</v>
      </c>
      <c r="AV28" s="14">
        <v>0</v>
      </c>
      <c r="AW28" s="16"/>
      <c r="AX28" s="16"/>
    </row>
    <row r="29" spans="1:50">
      <c r="A29" s="11" t="s">
        <v>241</v>
      </c>
      <c r="B29" s="11" t="s">
        <v>46</v>
      </c>
      <c r="C29" s="10">
        <v>5196048940</v>
      </c>
      <c r="D29" s="10">
        <v>0</v>
      </c>
      <c r="E29" s="10">
        <v>0</v>
      </c>
      <c r="F29" s="10">
        <v>5196048940</v>
      </c>
      <c r="G29" s="10">
        <v>0</v>
      </c>
      <c r="H29" s="14">
        <v>5196048940</v>
      </c>
      <c r="I29" s="14">
        <v>1163017073</v>
      </c>
      <c r="J29" s="14">
        <v>4033031867</v>
      </c>
      <c r="K29" s="14">
        <v>1163017073</v>
      </c>
      <c r="L29" s="14">
        <v>1163017073</v>
      </c>
      <c r="M29" s="16">
        <v>0.3500353589645675</v>
      </c>
      <c r="N29" s="16">
        <v>0.1620150267793902</v>
      </c>
      <c r="O29" s="10">
        <v>0</v>
      </c>
      <c r="P29" s="10">
        <v>0</v>
      </c>
      <c r="Q29" s="10">
        <v>0</v>
      </c>
      <c r="R29" s="10">
        <v>0</v>
      </c>
      <c r="S29" s="10">
        <v>0</v>
      </c>
      <c r="T29" s="14">
        <v>0</v>
      </c>
      <c r="U29" s="14">
        <v>0</v>
      </c>
      <c r="V29" s="14">
        <v>0</v>
      </c>
      <c r="W29" s="14">
        <v>0</v>
      </c>
      <c r="X29" s="14">
        <v>0</v>
      </c>
      <c r="Y29" s="16">
        <v>0.155</v>
      </c>
      <c r="Z29" s="16"/>
      <c r="AA29" s="10">
        <v>3985100000</v>
      </c>
      <c r="AB29" s="10">
        <v>0</v>
      </c>
      <c r="AC29" s="10">
        <v>0</v>
      </c>
      <c r="AD29" s="10">
        <v>3985100000</v>
      </c>
      <c r="AE29" s="10">
        <v>0</v>
      </c>
      <c r="AF29" s="14">
        <v>3985100000</v>
      </c>
      <c r="AG29" s="14">
        <v>1163017073</v>
      </c>
      <c r="AH29" s="14">
        <v>2822082927</v>
      </c>
      <c r="AI29" s="14">
        <v>1163017073</v>
      </c>
      <c r="AJ29" s="14">
        <v>1163017073</v>
      </c>
      <c r="AK29" s="16"/>
      <c r="AL29" s="16"/>
      <c r="AM29" s="10">
        <v>1210948940</v>
      </c>
      <c r="AN29" s="10">
        <v>0</v>
      </c>
      <c r="AO29" s="10">
        <v>0</v>
      </c>
      <c r="AP29" s="10">
        <v>1210948940</v>
      </c>
      <c r="AQ29" s="10">
        <v>0</v>
      </c>
      <c r="AR29" s="14">
        <v>1210948940</v>
      </c>
      <c r="AS29" s="14">
        <v>0</v>
      </c>
      <c r="AT29" s="14">
        <v>1210948940</v>
      </c>
      <c r="AU29" s="14">
        <v>0</v>
      </c>
      <c r="AV29" s="14">
        <v>0</v>
      </c>
      <c r="AW29" s="16"/>
      <c r="AX29" s="16"/>
    </row>
    <row r="30" spans="1:50">
      <c r="A30" s="11" t="s">
        <v>241</v>
      </c>
      <c r="B30" s="11" t="s">
        <v>48</v>
      </c>
      <c r="C30" s="10">
        <v>6963203146</v>
      </c>
      <c r="D30" s="10">
        <v>0</v>
      </c>
      <c r="E30" s="10">
        <v>0</v>
      </c>
      <c r="F30" s="10">
        <v>6963203146</v>
      </c>
      <c r="G30" s="10">
        <v>0</v>
      </c>
      <c r="H30" s="14">
        <v>6963203146</v>
      </c>
      <c r="I30" s="14">
        <v>487790483</v>
      </c>
      <c r="J30" s="14">
        <v>6475412663</v>
      </c>
      <c r="K30" s="14">
        <v>487790483</v>
      </c>
      <c r="L30" s="14">
        <v>487790483</v>
      </c>
      <c r="M30" s="16">
        <v>0.3500353589645675</v>
      </c>
      <c r="N30" s="16">
        <v>0.1620150267793902</v>
      </c>
      <c r="O30" s="10">
        <v>0</v>
      </c>
      <c r="P30" s="10">
        <v>0</v>
      </c>
      <c r="Q30" s="10">
        <v>0</v>
      </c>
      <c r="R30" s="10">
        <v>0</v>
      </c>
      <c r="S30" s="10">
        <v>0</v>
      </c>
      <c r="T30" s="14">
        <v>0</v>
      </c>
      <c r="U30" s="14">
        <v>0</v>
      </c>
      <c r="V30" s="14">
        <v>0</v>
      </c>
      <c r="W30" s="14">
        <v>0</v>
      </c>
      <c r="X30" s="14">
        <v>0</v>
      </c>
      <c r="Y30" s="16">
        <v>0.155</v>
      </c>
      <c r="Z30" s="16"/>
      <c r="AA30" s="10">
        <v>2318964000</v>
      </c>
      <c r="AB30" s="10">
        <v>0</v>
      </c>
      <c r="AC30" s="10">
        <v>0</v>
      </c>
      <c r="AD30" s="10">
        <v>2318964000</v>
      </c>
      <c r="AE30" s="10">
        <v>0</v>
      </c>
      <c r="AF30" s="14">
        <v>2318964000</v>
      </c>
      <c r="AG30" s="14">
        <v>487790483</v>
      </c>
      <c r="AH30" s="14">
        <v>1831173517</v>
      </c>
      <c r="AI30" s="14">
        <v>487790483</v>
      </c>
      <c r="AJ30" s="14">
        <v>487790483</v>
      </c>
      <c r="AK30" s="16"/>
      <c r="AL30" s="16"/>
      <c r="AM30" s="10">
        <v>4644239146</v>
      </c>
      <c r="AN30" s="10">
        <v>0</v>
      </c>
      <c r="AO30" s="10">
        <v>0</v>
      </c>
      <c r="AP30" s="10">
        <v>4644239146</v>
      </c>
      <c r="AQ30" s="10">
        <v>0</v>
      </c>
      <c r="AR30" s="14">
        <v>4644239146</v>
      </c>
      <c r="AS30" s="14">
        <v>0</v>
      </c>
      <c r="AT30" s="14">
        <v>4644239146</v>
      </c>
      <c r="AU30" s="14">
        <v>0</v>
      </c>
      <c r="AV30" s="14">
        <v>0</v>
      </c>
      <c r="AW30" s="16"/>
      <c r="AX30" s="16"/>
    </row>
    <row r="31" spans="1:50">
      <c r="A31" s="11" t="s">
        <v>241</v>
      </c>
      <c r="B31" s="11" t="s">
        <v>47</v>
      </c>
      <c r="C31" s="10">
        <v>2210571200</v>
      </c>
      <c r="D31" s="10">
        <v>0</v>
      </c>
      <c r="E31" s="10">
        <v>0</v>
      </c>
      <c r="F31" s="10">
        <v>2210571200</v>
      </c>
      <c r="G31" s="10">
        <v>0</v>
      </c>
      <c r="H31" s="14">
        <v>2210571200</v>
      </c>
      <c r="I31" s="14">
        <v>750000000</v>
      </c>
      <c r="J31" s="14">
        <v>1460571200</v>
      </c>
      <c r="K31" s="14">
        <v>750000000</v>
      </c>
      <c r="L31" s="14">
        <v>750000000</v>
      </c>
      <c r="M31" s="16">
        <v>0.3500353589645675</v>
      </c>
      <c r="N31" s="16">
        <v>0.1620150267793902</v>
      </c>
      <c r="O31" s="10">
        <v>0</v>
      </c>
      <c r="P31" s="10">
        <v>0</v>
      </c>
      <c r="Q31" s="10">
        <v>0</v>
      </c>
      <c r="R31" s="10">
        <v>0</v>
      </c>
      <c r="S31" s="10">
        <v>0</v>
      </c>
      <c r="T31" s="14">
        <v>0</v>
      </c>
      <c r="U31" s="14">
        <v>0</v>
      </c>
      <c r="V31" s="14">
        <v>0</v>
      </c>
      <c r="W31" s="14">
        <v>0</v>
      </c>
      <c r="X31" s="14">
        <v>0</v>
      </c>
      <c r="Y31" s="16">
        <v>0.155</v>
      </c>
      <c r="Z31" s="16"/>
      <c r="AA31" s="10">
        <v>2210571200</v>
      </c>
      <c r="AB31" s="10">
        <v>0</v>
      </c>
      <c r="AC31" s="10">
        <v>0</v>
      </c>
      <c r="AD31" s="10">
        <v>2210571200</v>
      </c>
      <c r="AE31" s="10">
        <v>0</v>
      </c>
      <c r="AF31" s="14">
        <v>2210571200</v>
      </c>
      <c r="AG31" s="14">
        <v>750000000</v>
      </c>
      <c r="AH31" s="14">
        <v>1460571200</v>
      </c>
      <c r="AI31" s="14">
        <v>750000000</v>
      </c>
      <c r="AJ31" s="14">
        <v>750000000</v>
      </c>
      <c r="AK31" s="16"/>
      <c r="AL31" s="16"/>
      <c r="AM31" s="10">
        <v>0</v>
      </c>
      <c r="AN31" s="10">
        <v>0</v>
      </c>
      <c r="AO31" s="10">
        <v>0</v>
      </c>
      <c r="AP31" s="10">
        <v>0</v>
      </c>
      <c r="AQ31" s="10">
        <v>0</v>
      </c>
      <c r="AR31" s="14">
        <v>0</v>
      </c>
      <c r="AS31" s="14">
        <v>0</v>
      </c>
      <c r="AT31" s="14">
        <v>0</v>
      </c>
      <c r="AU31" s="14">
        <v>0</v>
      </c>
      <c r="AV31" s="14">
        <v>0</v>
      </c>
      <c r="AW31" s="16"/>
      <c r="AX31" s="16"/>
    </row>
    <row r="32" spans="1:50">
      <c r="A32" s="11" t="s">
        <v>241</v>
      </c>
      <c r="B32" s="11" t="s">
        <v>49</v>
      </c>
      <c r="C32" s="10">
        <v>6619726656</v>
      </c>
      <c r="D32" s="10">
        <v>0</v>
      </c>
      <c r="E32" s="10">
        <v>0</v>
      </c>
      <c r="F32" s="10">
        <v>6619726656</v>
      </c>
      <c r="G32" s="10">
        <v>0</v>
      </c>
      <c r="H32" s="14">
        <v>6619726656</v>
      </c>
      <c r="I32" s="14">
        <v>1386037638</v>
      </c>
      <c r="J32" s="14">
        <v>5233689018</v>
      </c>
      <c r="K32" s="14">
        <v>1373037638</v>
      </c>
      <c r="L32" s="14">
        <v>1373037638</v>
      </c>
      <c r="M32" s="16">
        <v>0.3500353589645675</v>
      </c>
      <c r="N32" s="16">
        <v>0.1620150267793902</v>
      </c>
      <c r="O32" s="10">
        <v>0</v>
      </c>
      <c r="P32" s="10">
        <v>0</v>
      </c>
      <c r="Q32" s="10">
        <v>0</v>
      </c>
      <c r="R32" s="10">
        <v>0</v>
      </c>
      <c r="S32" s="10">
        <v>0</v>
      </c>
      <c r="T32" s="14">
        <v>0</v>
      </c>
      <c r="U32" s="14">
        <v>0</v>
      </c>
      <c r="V32" s="14">
        <v>0</v>
      </c>
      <c r="W32" s="14">
        <v>0</v>
      </c>
      <c r="X32" s="14">
        <v>0</v>
      </c>
      <c r="Y32" s="16">
        <v>0.155</v>
      </c>
      <c r="Z32" s="16"/>
      <c r="AA32" s="10">
        <v>6289000000</v>
      </c>
      <c r="AB32" s="10">
        <v>0</v>
      </c>
      <c r="AC32" s="10">
        <v>0</v>
      </c>
      <c r="AD32" s="10">
        <v>6289000000</v>
      </c>
      <c r="AE32" s="10">
        <v>0</v>
      </c>
      <c r="AF32" s="14">
        <v>6289000000</v>
      </c>
      <c r="AG32" s="14">
        <v>1386037638</v>
      </c>
      <c r="AH32" s="14">
        <v>4902962362</v>
      </c>
      <c r="AI32" s="14">
        <v>1373037638</v>
      </c>
      <c r="AJ32" s="14">
        <v>1373037638</v>
      </c>
      <c r="AK32" s="16"/>
      <c r="AL32" s="16"/>
      <c r="AM32" s="10">
        <v>330726656</v>
      </c>
      <c r="AN32" s="10">
        <v>0</v>
      </c>
      <c r="AO32" s="10">
        <v>0</v>
      </c>
      <c r="AP32" s="10">
        <v>330726656</v>
      </c>
      <c r="AQ32" s="10">
        <v>0</v>
      </c>
      <c r="AR32" s="14">
        <v>330726656</v>
      </c>
      <c r="AS32" s="14">
        <v>0</v>
      </c>
      <c r="AT32" s="14">
        <v>330726656</v>
      </c>
      <c r="AU32" s="14">
        <v>0</v>
      </c>
      <c r="AV32" s="14">
        <v>0</v>
      </c>
      <c r="AW32" s="16"/>
      <c r="AX32" s="16"/>
    </row>
    <row r="33" spans="1:50">
      <c r="A33" s="11" t="s">
        <v>241</v>
      </c>
      <c r="B33" s="11" t="s">
        <v>50</v>
      </c>
      <c r="C33" s="10">
        <v>5751614805</v>
      </c>
      <c r="D33" s="10">
        <v>0</v>
      </c>
      <c r="E33" s="10">
        <v>0</v>
      </c>
      <c r="F33" s="10">
        <v>5751614805</v>
      </c>
      <c r="G33" s="10">
        <v>0</v>
      </c>
      <c r="H33" s="14">
        <v>5751614805</v>
      </c>
      <c r="I33" s="14">
        <v>1125100723.71</v>
      </c>
      <c r="J33" s="14">
        <v>4626514081.29</v>
      </c>
      <c r="K33" s="14">
        <v>1125100723.71</v>
      </c>
      <c r="L33" s="14">
        <v>1125100723.71</v>
      </c>
      <c r="M33" s="16">
        <v>0.3500353589645675</v>
      </c>
      <c r="N33" s="16">
        <v>0.1620150267793902</v>
      </c>
      <c r="O33" s="10">
        <v>0</v>
      </c>
      <c r="P33" s="10">
        <v>0</v>
      </c>
      <c r="Q33" s="10">
        <v>0</v>
      </c>
      <c r="R33" s="10">
        <v>0</v>
      </c>
      <c r="S33" s="10">
        <v>0</v>
      </c>
      <c r="T33" s="14">
        <v>0</v>
      </c>
      <c r="U33" s="14">
        <v>0</v>
      </c>
      <c r="V33" s="14">
        <v>0</v>
      </c>
      <c r="W33" s="14">
        <v>0</v>
      </c>
      <c r="X33" s="14">
        <v>0</v>
      </c>
      <c r="Y33" s="16">
        <v>0.155</v>
      </c>
      <c r="Z33" s="16"/>
      <c r="AA33" s="10">
        <v>5534000000</v>
      </c>
      <c r="AB33" s="10">
        <v>0</v>
      </c>
      <c r="AC33" s="10">
        <v>0</v>
      </c>
      <c r="AD33" s="10">
        <v>5534000000</v>
      </c>
      <c r="AE33" s="10">
        <v>0</v>
      </c>
      <c r="AF33" s="14">
        <v>5534000000</v>
      </c>
      <c r="AG33" s="14">
        <v>1125100723.71</v>
      </c>
      <c r="AH33" s="14">
        <v>4408899276.29</v>
      </c>
      <c r="AI33" s="14">
        <v>1125100723.71</v>
      </c>
      <c r="AJ33" s="14">
        <v>1125100723.71</v>
      </c>
      <c r="AK33" s="16"/>
      <c r="AL33" s="16"/>
      <c r="AM33" s="10">
        <v>217614805</v>
      </c>
      <c r="AN33" s="10">
        <v>0</v>
      </c>
      <c r="AO33" s="10">
        <v>0</v>
      </c>
      <c r="AP33" s="10">
        <v>217614805</v>
      </c>
      <c r="AQ33" s="10">
        <v>0</v>
      </c>
      <c r="AR33" s="14">
        <v>217614805</v>
      </c>
      <c r="AS33" s="14">
        <v>0</v>
      </c>
      <c r="AT33" s="14">
        <v>217614805</v>
      </c>
      <c r="AU33" s="14">
        <v>0</v>
      </c>
      <c r="AV33" s="14">
        <v>0</v>
      </c>
      <c r="AW33" s="16"/>
      <c r="AX33" s="16"/>
    </row>
    <row r="34" spans="1:50">
      <c r="A34" s="11" t="s">
        <v>241</v>
      </c>
      <c r="B34" s="11" t="s">
        <v>51</v>
      </c>
      <c r="C34" s="10">
        <v>2921000000</v>
      </c>
      <c r="D34" s="10">
        <v>0</v>
      </c>
      <c r="E34" s="10">
        <v>0</v>
      </c>
      <c r="F34" s="10">
        <v>2921000000</v>
      </c>
      <c r="G34" s="10">
        <v>0</v>
      </c>
      <c r="H34" s="14">
        <v>2921000000</v>
      </c>
      <c r="I34" s="14">
        <v>615514771</v>
      </c>
      <c r="J34" s="14">
        <v>2305485229</v>
      </c>
      <c r="K34" s="14">
        <v>595512639</v>
      </c>
      <c r="L34" s="14">
        <v>595512639</v>
      </c>
      <c r="M34" s="16">
        <v>0.3500353589645675</v>
      </c>
      <c r="N34" s="16">
        <v>0.1620150267793902</v>
      </c>
      <c r="O34" s="10">
        <v>0</v>
      </c>
      <c r="P34" s="10">
        <v>0</v>
      </c>
      <c r="Q34" s="10">
        <v>0</v>
      </c>
      <c r="R34" s="10">
        <v>0</v>
      </c>
      <c r="S34" s="10">
        <v>0</v>
      </c>
      <c r="T34" s="14">
        <v>0</v>
      </c>
      <c r="U34" s="14">
        <v>0</v>
      </c>
      <c r="V34" s="14">
        <v>0</v>
      </c>
      <c r="W34" s="14">
        <v>0</v>
      </c>
      <c r="X34" s="14">
        <v>0</v>
      </c>
      <c r="Y34" s="16">
        <v>0.155</v>
      </c>
      <c r="Z34" s="16"/>
      <c r="AA34" s="10">
        <v>2921000000</v>
      </c>
      <c r="AB34" s="10">
        <v>0</v>
      </c>
      <c r="AC34" s="10">
        <v>0</v>
      </c>
      <c r="AD34" s="10">
        <v>2921000000</v>
      </c>
      <c r="AE34" s="10">
        <v>0</v>
      </c>
      <c r="AF34" s="14">
        <v>2921000000</v>
      </c>
      <c r="AG34" s="14">
        <v>615514771</v>
      </c>
      <c r="AH34" s="14">
        <v>2305485229</v>
      </c>
      <c r="AI34" s="14">
        <v>595512639</v>
      </c>
      <c r="AJ34" s="14">
        <v>595512639</v>
      </c>
      <c r="AK34" s="16"/>
      <c r="AL34" s="16"/>
      <c r="AM34" s="10">
        <v>0</v>
      </c>
      <c r="AN34" s="10">
        <v>0</v>
      </c>
      <c r="AO34" s="10">
        <v>0</v>
      </c>
      <c r="AP34" s="10">
        <v>0</v>
      </c>
      <c r="AQ34" s="10">
        <v>0</v>
      </c>
      <c r="AR34" s="14">
        <v>0</v>
      </c>
      <c r="AS34" s="14">
        <v>0</v>
      </c>
      <c r="AT34" s="14">
        <v>0</v>
      </c>
      <c r="AU34" s="14">
        <v>0</v>
      </c>
      <c r="AV34" s="14">
        <v>0</v>
      </c>
      <c r="AW34" s="16"/>
      <c r="AX34" s="16"/>
    </row>
    <row r="35" spans="1:50">
      <c r="A35" s="11" t="s">
        <v>241</v>
      </c>
      <c r="B35" s="11" t="s">
        <v>52</v>
      </c>
      <c r="C35" s="10">
        <v>4718989654</v>
      </c>
      <c r="D35" s="10">
        <v>0</v>
      </c>
      <c r="E35" s="10">
        <v>0</v>
      </c>
      <c r="F35" s="10">
        <v>4718989654</v>
      </c>
      <c r="G35" s="10">
        <v>0</v>
      </c>
      <c r="H35" s="14">
        <v>4718989654</v>
      </c>
      <c r="I35" s="14">
        <v>1156628372</v>
      </c>
      <c r="J35" s="14">
        <v>3562361282</v>
      </c>
      <c r="K35" s="14">
        <v>1054726264</v>
      </c>
      <c r="L35" s="14">
        <v>1054726264</v>
      </c>
      <c r="M35" s="16">
        <v>0.3500353589645675</v>
      </c>
      <c r="N35" s="16">
        <v>0.1620150267793902</v>
      </c>
      <c r="O35" s="10">
        <v>0</v>
      </c>
      <c r="P35" s="10">
        <v>0</v>
      </c>
      <c r="Q35" s="10">
        <v>0</v>
      </c>
      <c r="R35" s="10">
        <v>0</v>
      </c>
      <c r="S35" s="10">
        <v>0</v>
      </c>
      <c r="T35" s="14">
        <v>0</v>
      </c>
      <c r="U35" s="14">
        <v>0</v>
      </c>
      <c r="V35" s="14">
        <v>0</v>
      </c>
      <c r="W35" s="14">
        <v>0</v>
      </c>
      <c r="X35" s="14">
        <v>0</v>
      </c>
      <c r="Y35" s="16">
        <v>0.155</v>
      </c>
      <c r="Z35" s="16"/>
      <c r="AA35" s="10">
        <v>3300400000</v>
      </c>
      <c r="AB35" s="10">
        <v>0</v>
      </c>
      <c r="AC35" s="10">
        <v>0</v>
      </c>
      <c r="AD35" s="10">
        <v>3300400000</v>
      </c>
      <c r="AE35" s="10">
        <v>0</v>
      </c>
      <c r="AF35" s="14">
        <v>3300400000</v>
      </c>
      <c r="AG35" s="14">
        <v>1156628372</v>
      </c>
      <c r="AH35" s="14">
        <v>2143771628</v>
      </c>
      <c r="AI35" s="14">
        <v>1054726264</v>
      </c>
      <c r="AJ35" s="14">
        <v>1054726264</v>
      </c>
      <c r="AK35" s="16"/>
      <c r="AL35" s="16"/>
      <c r="AM35" s="10">
        <v>1418589654</v>
      </c>
      <c r="AN35" s="10">
        <v>0</v>
      </c>
      <c r="AO35" s="10">
        <v>0</v>
      </c>
      <c r="AP35" s="10">
        <v>1418589654</v>
      </c>
      <c r="AQ35" s="10">
        <v>0</v>
      </c>
      <c r="AR35" s="14">
        <v>1418589654</v>
      </c>
      <c r="AS35" s="14">
        <v>0</v>
      </c>
      <c r="AT35" s="14">
        <v>1418589654</v>
      </c>
      <c r="AU35" s="14">
        <v>0</v>
      </c>
      <c r="AV35" s="14">
        <v>0</v>
      </c>
      <c r="AW35" s="16"/>
      <c r="AX35" s="16"/>
    </row>
    <row r="36" spans="1:50">
      <c r="A36" s="11" t="s">
        <v>241</v>
      </c>
      <c r="B36" s="11" t="s">
        <v>526</v>
      </c>
      <c r="C36" s="10">
        <v>0</v>
      </c>
      <c r="D36" s="10">
        <v>0</v>
      </c>
      <c r="E36" s="10">
        <v>0</v>
      </c>
      <c r="F36" s="10">
        <v>0</v>
      </c>
      <c r="G36" s="10">
        <v>0</v>
      </c>
      <c r="H36" s="14">
        <v>0</v>
      </c>
      <c r="I36" s="14">
        <v>0</v>
      </c>
      <c r="J36" s="14">
        <v>0</v>
      </c>
      <c r="K36" s="14">
        <v>0</v>
      </c>
      <c r="L36" s="14">
        <v>0</v>
      </c>
      <c r="M36" s="16">
        <v>0.3500353589645675</v>
      </c>
      <c r="N36" s="16">
        <v>0.1620150267793902</v>
      </c>
      <c r="O36" s="10">
        <v>0</v>
      </c>
      <c r="P36" s="10">
        <v>0</v>
      </c>
      <c r="Q36" s="10">
        <v>0</v>
      </c>
      <c r="R36" s="10">
        <v>0</v>
      </c>
      <c r="S36" s="10">
        <v>0</v>
      </c>
      <c r="T36" s="14">
        <v>0</v>
      </c>
      <c r="U36" s="14">
        <v>0</v>
      </c>
      <c r="V36" s="14">
        <v>0</v>
      </c>
      <c r="W36" s="14">
        <v>0</v>
      </c>
      <c r="X36" s="14">
        <v>0</v>
      </c>
      <c r="Y36" s="16">
        <v>0.155</v>
      </c>
      <c r="Z36" s="16"/>
      <c r="AA36" s="10">
        <v>0</v>
      </c>
      <c r="AB36" s="10">
        <v>0</v>
      </c>
      <c r="AC36" s="10">
        <v>0</v>
      </c>
      <c r="AD36" s="10">
        <v>0</v>
      </c>
      <c r="AE36" s="10">
        <v>0</v>
      </c>
      <c r="AF36" s="14">
        <v>0</v>
      </c>
      <c r="AG36" s="14">
        <v>0</v>
      </c>
      <c r="AH36" s="14">
        <v>0</v>
      </c>
      <c r="AI36" s="14">
        <v>0</v>
      </c>
      <c r="AJ36" s="14">
        <v>0</v>
      </c>
      <c r="AK36" s="16"/>
      <c r="AL36" s="16"/>
      <c r="AM36" s="10">
        <v>0</v>
      </c>
      <c r="AN36" s="10">
        <v>0</v>
      </c>
      <c r="AO36" s="10">
        <v>0</v>
      </c>
      <c r="AP36" s="10">
        <v>0</v>
      </c>
      <c r="AQ36" s="10">
        <v>0</v>
      </c>
      <c r="AR36" s="14">
        <v>0</v>
      </c>
      <c r="AS36" s="14">
        <v>0</v>
      </c>
      <c r="AT36" s="14">
        <v>0</v>
      </c>
      <c r="AU36" s="14">
        <v>0</v>
      </c>
      <c r="AV36" s="14">
        <v>0</v>
      </c>
      <c r="AW36" s="16"/>
      <c r="AX36" s="16"/>
    </row>
    <row r="37" spans="1:50">
      <c r="A37" s="11" t="s">
        <v>241</v>
      </c>
      <c r="B37" s="11" t="s">
        <v>17</v>
      </c>
      <c r="C37" s="10">
        <v>1900594103</v>
      </c>
      <c r="D37" s="10">
        <v>0</v>
      </c>
      <c r="E37" s="10">
        <v>0</v>
      </c>
      <c r="F37" s="10">
        <v>1900594103</v>
      </c>
      <c r="G37" s="10">
        <v>0</v>
      </c>
      <c r="H37" s="14">
        <v>1900594103</v>
      </c>
      <c r="I37" s="14">
        <v>0</v>
      </c>
      <c r="J37" s="14">
        <v>1900594103</v>
      </c>
      <c r="K37" s="14">
        <v>0</v>
      </c>
      <c r="L37" s="14">
        <v>0</v>
      </c>
      <c r="M37" s="16">
        <v>0.3500353589645675</v>
      </c>
      <c r="N37" s="16">
        <v>0.1620150267793902</v>
      </c>
      <c r="O37" s="10">
        <v>1900594103</v>
      </c>
      <c r="P37" s="10">
        <v>0</v>
      </c>
      <c r="Q37" s="10">
        <v>0</v>
      </c>
      <c r="R37" s="10">
        <v>1900594103</v>
      </c>
      <c r="S37" s="10">
        <v>0</v>
      </c>
      <c r="T37" s="14">
        <v>1900594103</v>
      </c>
      <c r="U37" s="14">
        <v>0</v>
      </c>
      <c r="V37" s="14">
        <v>1900594103</v>
      </c>
      <c r="W37" s="14">
        <v>0</v>
      </c>
      <c r="X37" s="14">
        <v>0</v>
      </c>
      <c r="Y37" s="16">
        <v>0.155</v>
      </c>
      <c r="Z37" s="16"/>
      <c r="AA37" s="10">
        <v>0</v>
      </c>
      <c r="AB37" s="10">
        <v>0</v>
      </c>
      <c r="AC37" s="10">
        <v>0</v>
      </c>
      <c r="AD37" s="10">
        <v>0</v>
      </c>
      <c r="AE37" s="10">
        <v>0</v>
      </c>
      <c r="AF37" s="14">
        <v>0</v>
      </c>
      <c r="AG37" s="14">
        <v>0</v>
      </c>
      <c r="AH37" s="14">
        <v>0</v>
      </c>
      <c r="AI37" s="14">
        <v>0</v>
      </c>
      <c r="AJ37" s="14">
        <v>0</v>
      </c>
      <c r="AK37" s="16"/>
      <c r="AL37" s="16"/>
      <c r="AM37" s="10">
        <v>0</v>
      </c>
      <c r="AN37" s="10">
        <v>0</v>
      </c>
      <c r="AO37" s="10">
        <v>0</v>
      </c>
      <c r="AP37" s="10">
        <v>0</v>
      </c>
      <c r="AQ37" s="10">
        <v>0</v>
      </c>
      <c r="AR37" s="14">
        <v>0</v>
      </c>
      <c r="AS37" s="14">
        <v>0</v>
      </c>
      <c r="AT37" s="14">
        <v>0</v>
      </c>
      <c r="AU37" s="14">
        <v>0</v>
      </c>
      <c r="AV37" s="14">
        <v>0</v>
      </c>
      <c r="AW37" s="16"/>
      <c r="AX37" s="16"/>
    </row>
    <row r="38" spans="1:50">
      <c r="A38" s="11" t="s">
        <v>241</v>
      </c>
      <c r="B38" s="11" t="s">
        <v>9</v>
      </c>
      <c r="C38" s="10"/>
      <c r="D38" s="10"/>
      <c r="E38" s="10"/>
      <c r="F38" s="10"/>
      <c r="G38" s="10"/>
      <c r="H38" s="14"/>
      <c r="I38" s="14"/>
      <c r="J38" s="14"/>
      <c r="K38" s="14"/>
      <c r="L38" s="14"/>
      <c r="M38" s="16">
        <v>0.3500353589645675</v>
      </c>
      <c r="N38" s="16">
        <v>0.1620150267793902</v>
      </c>
      <c r="O38" s="10"/>
      <c r="P38" s="10"/>
      <c r="Q38" s="10"/>
      <c r="R38" s="10"/>
      <c r="S38" s="10"/>
      <c r="T38" s="14"/>
      <c r="U38" s="14"/>
      <c r="V38" s="14"/>
      <c r="W38" s="14"/>
      <c r="X38" s="14"/>
      <c r="Y38" s="16">
        <v>0.155</v>
      </c>
      <c r="Z38" s="16"/>
      <c r="AA38" s="10"/>
      <c r="AB38" s="10"/>
      <c r="AC38" s="10"/>
      <c r="AD38" s="10"/>
      <c r="AE38" s="10"/>
      <c r="AF38" s="14"/>
      <c r="AG38" s="14"/>
      <c r="AH38" s="14"/>
      <c r="AI38" s="14"/>
      <c r="AJ38" s="14"/>
      <c r="AK38" s="16"/>
      <c r="AL38" s="16"/>
      <c r="AM38" s="10"/>
      <c r="AN38" s="10"/>
      <c r="AO38" s="10"/>
      <c r="AP38" s="10"/>
      <c r="AQ38" s="10"/>
      <c r="AR38" s="14"/>
      <c r="AS38" s="14"/>
      <c r="AT38" s="14"/>
      <c r="AU38" s="14"/>
      <c r="AV38" s="14"/>
      <c r="AW38" s="16"/>
      <c r="AX38" s="16"/>
    </row>
    <row r="39" spans="1:50">
      <c r="A39" s="11" t="s">
        <v>241</v>
      </c>
      <c r="B39" s="11" t="s">
        <v>221</v>
      </c>
      <c r="C39" s="10">
        <v>128505132430</v>
      </c>
      <c r="D39" s="10">
        <v>0</v>
      </c>
      <c r="E39" s="10">
        <v>0</v>
      </c>
      <c r="F39" s="10">
        <v>128505132430</v>
      </c>
      <c r="G39" s="10">
        <v>0</v>
      </c>
      <c r="H39" s="14">
        <v>128505132430</v>
      </c>
      <c r="I39" s="14">
        <v>40274514360.949997</v>
      </c>
      <c r="J39" s="14">
        <v>88230618069.050003</v>
      </c>
      <c r="K39" s="14">
        <v>22491774653.75</v>
      </c>
      <c r="L39" s="14">
        <v>21599480809.75</v>
      </c>
      <c r="M39" s="16">
        <v>0.3500353589645675</v>
      </c>
      <c r="N39" s="16">
        <v>0.1620150267793902</v>
      </c>
      <c r="O39" s="10">
        <v>15727900967</v>
      </c>
      <c r="P39" s="10">
        <v>0</v>
      </c>
      <c r="Q39" s="10">
        <v>0</v>
      </c>
      <c r="R39" s="10">
        <v>15727900967</v>
      </c>
      <c r="S39" s="10">
        <v>0</v>
      </c>
      <c r="T39" s="14">
        <v>15727900967</v>
      </c>
      <c r="U39" s="14">
        <v>15662896877</v>
      </c>
      <c r="V39" s="14">
        <v>65004090</v>
      </c>
      <c r="W39" s="14">
        <v>27376393</v>
      </c>
      <c r="X39" s="14">
        <v>27376393</v>
      </c>
      <c r="Y39" s="16">
        <v>0.155</v>
      </c>
      <c r="Z39" s="16"/>
      <c r="AA39" s="10">
        <v>90596826020</v>
      </c>
      <c r="AB39" s="10">
        <v>0</v>
      </c>
      <c r="AC39" s="10">
        <v>0</v>
      </c>
      <c r="AD39" s="10">
        <v>90596826020</v>
      </c>
      <c r="AE39" s="10">
        <v>0</v>
      </c>
      <c r="AF39" s="14">
        <v>90596826020</v>
      </c>
      <c r="AG39" s="14">
        <v>24611617483.950001</v>
      </c>
      <c r="AH39" s="14">
        <v>65985208536.050003</v>
      </c>
      <c r="AI39" s="14">
        <v>22464398260.75</v>
      </c>
      <c r="AJ39" s="14">
        <v>21572104416.75</v>
      </c>
      <c r="AK39" s="16"/>
      <c r="AL39" s="16"/>
      <c r="AM39" s="10">
        <v>22180405443</v>
      </c>
      <c r="AN39" s="10">
        <v>0</v>
      </c>
      <c r="AO39" s="10">
        <v>0</v>
      </c>
      <c r="AP39" s="10">
        <v>22180405443</v>
      </c>
      <c r="AQ39" s="10">
        <v>0</v>
      </c>
      <c r="AR39" s="14">
        <v>22180405443</v>
      </c>
      <c r="AS39" s="14">
        <v>0</v>
      </c>
      <c r="AT39" s="14">
        <v>22180405443</v>
      </c>
      <c r="AU39" s="14">
        <v>0</v>
      </c>
      <c r="AV39" s="14">
        <v>0</v>
      </c>
      <c r="AW39" s="16"/>
      <c r="AX39" s="16"/>
    </row>
    <row r="40" spans="1:50">
      <c r="A40" s="11" t="s">
        <v>249</v>
      </c>
      <c r="B40" s="11"/>
      <c r="C40" s="10">
        <v>130405726533</v>
      </c>
      <c r="D40" s="10">
        <v>0</v>
      </c>
      <c r="E40" s="10">
        <v>0</v>
      </c>
      <c r="F40" s="10">
        <v>130405726533</v>
      </c>
      <c r="G40" s="10">
        <v>0</v>
      </c>
      <c r="H40" s="14">
        <v>130405726533</v>
      </c>
      <c r="I40" s="14">
        <v>40274514360.949997</v>
      </c>
      <c r="J40" s="14">
        <v>90131212172.050003</v>
      </c>
      <c r="K40" s="14">
        <v>22491774653.75</v>
      </c>
      <c r="L40" s="14">
        <v>21599480809.75</v>
      </c>
      <c r="M40" s="16">
        <v>0.3500353589645675</v>
      </c>
      <c r="N40" s="16">
        <v>0.1620150267793902</v>
      </c>
      <c r="O40" s="10">
        <v>17628495070</v>
      </c>
      <c r="P40" s="10">
        <v>0</v>
      </c>
      <c r="Q40" s="10">
        <v>0</v>
      </c>
      <c r="R40" s="10">
        <v>17628495070</v>
      </c>
      <c r="S40" s="10">
        <v>0</v>
      </c>
      <c r="T40" s="14">
        <v>17628495070</v>
      </c>
      <c r="U40" s="14">
        <v>15662896877</v>
      </c>
      <c r="V40" s="14">
        <v>1965598193</v>
      </c>
      <c r="W40" s="14">
        <v>27376393</v>
      </c>
      <c r="X40" s="14">
        <v>27376393</v>
      </c>
      <c r="Y40" s="16">
        <v>0.155</v>
      </c>
      <c r="Z40" s="16"/>
      <c r="AA40" s="10">
        <v>90596826020</v>
      </c>
      <c r="AB40" s="10">
        <v>0</v>
      </c>
      <c r="AC40" s="10">
        <v>0</v>
      </c>
      <c r="AD40" s="10">
        <v>90596826020</v>
      </c>
      <c r="AE40" s="10">
        <v>0</v>
      </c>
      <c r="AF40" s="14">
        <v>90596826020</v>
      </c>
      <c r="AG40" s="14">
        <v>24611617483.950001</v>
      </c>
      <c r="AH40" s="14">
        <v>65985208536.050003</v>
      </c>
      <c r="AI40" s="14">
        <v>22464398260.75</v>
      </c>
      <c r="AJ40" s="14">
        <v>21572104416.75</v>
      </c>
      <c r="AK40" s="16"/>
      <c r="AL40" s="16"/>
      <c r="AM40" s="10">
        <v>22180405443</v>
      </c>
      <c r="AN40" s="10">
        <v>0</v>
      </c>
      <c r="AO40" s="10">
        <v>0</v>
      </c>
      <c r="AP40" s="10">
        <v>22180405443</v>
      </c>
      <c r="AQ40" s="10">
        <v>0</v>
      </c>
      <c r="AR40" s="14">
        <v>22180405443</v>
      </c>
      <c r="AS40" s="14">
        <v>0</v>
      </c>
      <c r="AT40" s="14">
        <v>22180405443</v>
      </c>
      <c r="AU40" s="14">
        <v>0</v>
      </c>
      <c r="AV40" s="14">
        <v>0</v>
      </c>
      <c r="AW40" s="16"/>
      <c r="AX40" s="16"/>
    </row>
    <row r="41" spans="1:50">
      <c r="A41" s="11" t="s">
        <v>9</v>
      </c>
      <c r="B41" s="11" t="s">
        <v>7</v>
      </c>
      <c r="C41" s="10">
        <v>180716666513</v>
      </c>
      <c r="D41" s="10">
        <v>0</v>
      </c>
      <c r="E41" s="10">
        <v>0</v>
      </c>
      <c r="F41" s="10">
        <v>180716666513</v>
      </c>
      <c r="G41" s="10">
        <v>0</v>
      </c>
      <c r="H41" s="14">
        <v>180716666513</v>
      </c>
      <c r="I41" s="14">
        <v>153694984321.81</v>
      </c>
      <c r="J41" s="14">
        <v>27021682191.189999</v>
      </c>
      <c r="K41" s="14">
        <v>90635598355.330002</v>
      </c>
      <c r="L41" s="14">
        <v>90600410823.330002</v>
      </c>
      <c r="M41" s="16">
        <v>0.3500353589645675</v>
      </c>
      <c r="N41" s="16">
        <v>0.1620150267793902</v>
      </c>
      <c r="O41" s="10">
        <v>100097101513</v>
      </c>
      <c r="P41" s="10">
        <v>0</v>
      </c>
      <c r="Q41" s="10">
        <v>0</v>
      </c>
      <c r="R41" s="10">
        <v>100097101513</v>
      </c>
      <c r="S41" s="10">
        <v>0</v>
      </c>
      <c r="T41" s="14">
        <v>100097101513</v>
      </c>
      <c r="U41" s="14">
        <v>73075419321.809998</v>
      </c>
      <c r="V41" s="14">
        <v>27021682191.189999</v>
      </c>
      <c r="W41" s="14">
        <v>10016033355.33</v>
      </c>
      <c r="X41" s="14">
        <v>9980845823.3299999</v>
      </c>
      <c r="Y41" s="16">
        <v>0.155</v>
      </c>
      <c r="Z41" s="16"/>
      <c r="AA41" s="10">
        <v>80619565000</v>
      </c>
      <c r="AB41" s="10">
        <v>0</v>
      </c>
      <c r="AC41" s="10">
        <v>0</v>
      </c>
      <c r="AD41" s="10">
        <v>80619565000</v>
      </c>
      <c r="AE41" s="10">
        <v>0</v>
      </c>
      <c r="AF41" s="14">
        <v>80619565000</v>
      </c>
      <c r="AG41" s="14">
        <v>80619565000</v>
      </c>
      <c r="AH41" s="14">
        <v>0</v>
      </c>
      <c r="AI41" s="14">
        <v>80619565000</v>
      </c>
      <c r="AJ41" s="14">
        <v>80619565000</v>
      </c>
      <c r="AK41" s="16"/>
      <c r="AL41" s="16"/>
      <c r="AM41" s="10">
        <v>0</v>
      </c>
      <c r="AN41" s="10">
        <v>0</v>
      </c>
      <c r="AO41" s="10">
        <v>0</v>
      </c>
      <c r="AP41" s="10">
        <v>0</v>
      </c>
      <c r="AQ41" s="10">
        <v>0</v>
      </c>
      <c r="AR41" s="14">
        <v>0</v>
      </c>
      <c r="AS41" s="14">
        <v>0</v>
      </c>
      <c r="AT41" s="14">
        <v>0</v>
      </c>
      <c r="AU41" s="14">
        <v>0</v>
      </c>
      <c r="AV41" s="14">
        <v>0</v>
      </c>
      <c r="AW41" s="16"/>
      <c r="AX41" s="16"/>
    </row>
    <row r="42" spans="1:50">
      <c r="A42" s="11" t="s">
        <v>9</v>
      </c>
      <c r="B42" s="11" t="s">
        <v>382</v>
      </c>
      <c r="C42" s="10">
        <v>1519300000</v>
      </c>
      <c r="D42" s="10">
        <v>0</v>
      </c>
      <c r="E42" s="10">
        <v>0</v>
      </c>
      <c r="F42" s="10">
        <v>1519300000</v>
      </c>
      <c r="G42" s="10">
        <v>0</v>
      </c>
      <c r="H42" s="14">
        <v>1519300000</v>
      </c>
      <c r="I42" s="14">
        <v>0</v>
      </c>
      <c r="J42" s="14">
        <v>1519300000</v>
      </c>
      <c r="K42" s="14">
        <v>0</v>
      </c>
      <c r="L42" s="14">
        <v>0</v>
      </c>
      <c r="M42" s="16">
        <v>0.3500353589645675</v>
      </c>
      <c r="N42" s="16">
        <v>0.1620150267793902</v>
      </c>
      <c r="O42" s="10">
        <v>1519300000</v>
      </c>
      <c r="P42" s="10">
        <v>0</v>
      </c>
      <c r="Q42" s="10">
        <v>0</v>
      </c>
      <c r="R42" s="10">
        <v>1519300000</v>
      </c>
      <c r="S42" s="10">
        <v>0</v>
      </c>
      <c r="T42" s="14">
        <v>1519300000</v>
      </c>
      <c r="U42" s="14">
        <v>0</v>
      </c>
      <c r="V42" s="14">
        <v>1519300000</v>
      </c>
      <c r="W42" s="14">
        <v>0</v>
      </c>
      <c r="X42" s="14">
        <v>0</v>
      </c>
      <c r="Y42" s="16">
        <v>0.155</v>
      </c>
      <c r="Z42" s="16"/>
      <c r="AA42" s="10">
        <v>0</v>
      </c>
      <c r="AB42" s="10">
        <v>0</v>
      </c>
      <c r="AC42" s="10">
        <v>0</v>
      </c>
      <c r="AD42" s="10">
        <v>0</v>
      </c>
      <c r="AE42" s="10">
        <v>0</v>
      </c>
      <c r="AF42" s="14">
        <v>0</v>
      </c>
      <c r="AG42" s="14">
        <v>0</v>
      </c>
      <c r="AH42" s="14">
        <v>0</v>
      </c>
      <c r="AI42" s="14">
        <v>0</v>
      </c>
      <c r="AJ42" s="14">
        <v>0</v>
      </c>
      <c r="AK42" s="16"/>
      <c r="AL42" s="16"/>
      <c r="AM42" s="10">
        <v>0</v>
      </c>
      <c r="AN42" s="10">
        <v>0</v>
      </c>
      <c r="AO42" s="10">
        <v>0</v>
      </c>
      <c r="AP42" s="10">
        <v>0</v>
      </c>
      <c r="AQ42" s="10">
        <v>0</v>
      </c>
      <c r="AR42" s="14">
        <v>0</v>
      </c>
      <c r="AS42" s="14">
        <v>0</v>
      </c>
      <c r="AT42" s="14">
        <v>0</v>
      </c>
      <c r="AU42" s="14">
        <v>0</v>
      </c>
      <c r="AV42" s="14">
        <v>0</v>
      </c>
      <c r="AW42" s="16"/>
      <c r="AX42" s="16"/>
    </row>
    <row r="43" spans="1:50">
      <c r="A43" s="11" t="s">
        <v>9</v>
      </c>
      <c r="B43" s="11" t="s">
        <v>6</v>
      </c>
      <c r="C43" s="10">
        <v>1892000000</v>
      </c>
      <c r="D43" s="10">
        <v>0</v>
      </c>
      <c r="E43" s="10">
        <v>0</v>
      </c>
      <c r="F43" s="10">
        <v>1892000000</v>
      </c>
      <c r="G43" s="10">
        <v>0</v>
      </c>
      <c r="H43" s="14">
        <v>1892000000</v>
      </c>
      <c r="I43" s="14">
        <v>481009084</v>
      </c>
      <c r="J43" s="14">
        <v>1410990916</v>
      </c>
      <c r="K43" s="14">
        <v>481009084</v>
      </c>
      <c r="L43" s="14">
        <v>481009084</v>
      </c>
      <c r="M43" s="16">
        <v>0.3500353589645675</v>
      </c>
      <c r="N43" s="16">
        <v>0.1620150267793902</v>
      </c>
      <c r="O43" s="10">
        <v>0</v>
      </c>
      <c r="P43" s="10">
        <v>0</v>
      </c>
      <c r="Q43" s="10">
        <v>0</v>
      </c>
      <c r="R43" s="10">
        <v>0</v>
      </c>
      <c r="S43" s="10">
        <v>0</v>
      </c>
      <c r="T43" s="14">
        <v>0</v>
      </c>
      <c r="U43" s="14">
        <v>0</v>
      </c>
      <c r="V43" s="14">
        <v>0</v>
      </c>
      <c r="W43" s="14">
        <v>0</v>
      </c>
      <c r="X43" s="14">
        <v>0</v>
      </c>
      <c r="Y43" s="16">
        <v>0.155</v>
      </c>
      <c r="Z43" s="16"/>
      <c r="AA43" s="10">
        <v>1892000000</v>
      </c>
      <c r="AB43" s="10">
        <v>0</v>
      </c>
      <c r="AC43" s="10">
        <v>0</v>
      </c>
      <c r="AD43" s="10">
        <v>1892000000</v>
      </c>
      <c r="AE43" s="10">
        <v>0</v>
      </c>
      <c r="AF43" s="14">
        <v>1892000000</v>
      </c>
      <c r="AG43" s="14">
        <v>481009084</v>
      </c>
      <c r="AH43" s="14">
        <v>1410990916</v>
      </c>
      <c r="AI43" s="14">
        <v>481009084</v>
      </c>
      <c r="AJ43" s="14">
        <v>481009084</v>
      </c>
      <c r="AK43" s="16"/>
      <c r="AL43" s="16"/>
      <c r="AM43" s="10">
        <v>0</v>
      </c>
      <c r="AN43" s="10">
        <v>0</v>
      </c>
      <c r="AO43" s="10">
        <v>0</v>
      </c>
      <c r="AP43" s="10">
        <v>0</v>
      </c>
      <c r="AQ43" s="10">
        <v>0</v>
      </c>
      <c r="AR43" s="14">
        <v>0</v>
      </c>
      <c r="AS43" s="14">
        <v>0</v>
      </c>
      <c r="AT43" s="14">
        <v>0</v>
      </c>
      <c r="AU43" s="14">
        <v>0</v>
      </c>
      <c r="AV43" s="14">
        <v>0</v>
      </c>
      <c r="AW43" s="16"/>
      <c r="AX43" s="16"/>
    </row>
    <row r="44" spans="1:50">
      <c r="A44" s="11" t="s">
        <v>9</v>
      </c>
      <c r="B44" s="11" t="s">
        <v>231</v>
      </c>
      <c r="C44" s="10">
        <v>369679862938</v>
      </c>
      <c r="D44" s="10">
        <v>0</v>
      </c>
      <c r="E44" s="10">
        <v>0</v>
      </c>
      <c r="F44" s="10">
        <v>369679862938</v>
      </c>
      <c r="G44" s="10">
        <v>369679862938</v>
      </c>
      <c r="H44" s="14">
        <v>0</v>
      </c>
      <c r="I44" s="14">
        <v>0</v>
      </c>
      <c r="J44" s="14">
        <v>0</v>
      </c>
      <c r="K44" s="14">
        <v>0</v>
      </c>
      <c r="L44" s="14">
        <v>0</v>
      </c>
      <c r="M44" s="16">
        <v>0.3500353589645675</v>
      </c>
      <c r="N44" s="16">
        <v>0.1620150267793902</v>
      </c>
      <c r="O44" s="10">
        <v>369679862938</v>
      </c>
      <c r="P44" s="10">
        <v>0</v>
      </c>
      <c r="Q44" s="10">
        <v>0</v>
      </c>
      <c r="R44" s="10">
        <v>369679862938</v>
      </c>
      <c r="S44" s="10">
        <v>369679862938</v>
      </c>
      <c r="T44" s="14">
        <v>0</v>
      </c>
      <c r="U44" s="14">
        <v>0</v>
      </c>
      <c r="V44" s="14">
        <v>0</v>
      </c>
      <c r="W44" s="14">
        <v>0</v>
      </c>
      <c r="X44" s="14">
        <v>0</v>
      </c>
      <c r="Y44" s="16">
        <v>0.155</v>
      </c>
      <c r="Z44" s="16"/>
      <c r="AA44" s="10">
        <v>0</v>
      </c>
      <c r="AB44" s="10">
        <v>0</v>
      </c>
      <c r="AC44" s="10">
        <v>0</v>
      </c>
      <c r="AD44" s="10">
        <v>0</v>
      </c>
      <c r="AE44" s="10">
        <v>0</v>
      </c>
      <c r="AF44" s="14">
        <v>0</v>
      </c>
      <c r="AG44" s="14">
        <v>0</v>
      </c>
      <c r="AH44" s="14">
        <v>0</v>
      </c>
      <c r="AI44" s="14">
        <v>0</v>
      </c>
      <c r="AJ44" s="14">
        <v>0</v>
      </c>
      <c r="AK44" s="16"/>
      <c r="AL44" s="16"/>
      <c r="AM44" s="10">
        <v>0</v>
      </c>
      <c r="AN44" s="10">
        <v>0</v>
      </c>
      <c r="AO44" s="10">
        <v>0</v>
      </c>
      <c r="AP44" s="10">
        <v>0</v>
      </c>
      <c r="AQ44" s="10">
        <v>0</v>
      </c>
      <c r="AR44" s="14">
        <v>0</v>
      </c>
      <c r="AS44" s="14">
        <v>0</v>
      </c>
      <c r="AT44" s="14">
        <v>0</v>
      </c>
      <c r="AU44" s="14">
        <v>0</v>
      </c>
      <c r="AV44" s="14">
        <v>0</v>
      </c>
      <c r="AW44" s="16"/>
      <c r="AX44" s="16"/>
    </row>
    <row r="45" spans="1:50">
      <c r="A45" s="11" t="s">
        <v>9</v>
      </c>
      <c r="B45" s="11" t="s">
        <v>363</v>
      </c>
      <c r="C45" s="10">
        <v>60909800000</v>
      </c>
      <c r="D45" s="10">
        <v>0</v>
      </c>
      <c r="E45" s="10">
        <v>0</v>
      </c>
      <c r="F45" s="10">
        <v>60909800000</v>
      </c>
      <c r="G45" s="10">
        <v>0</v>
      </c>
      <c r="H45" s="14">
        <v>60909800000</v>
      </c>
      <c r="I45" s="14">
        <v>6601862318.25</v>
      </c>
      <c r="J45" s="14">
        <v>54307937681.75</v>
      </c>
      <c r="K45" s="14">
        <v>361101909.81</v>
      </c>
      <c r="L45" s="14">
        <v>361101909.81</v>
      </c>
      <c r="M45" s="16">
        <v>0.3500353589645675</v>
      </c>
      <c r="N45" s="16">
        <v>0.1620150267793902</v>
      </c>
      <c r="O45" s="10">
        <v>60909800000</v>
      </c>
      <c r="P45" s="10">
        <v>0</v>
      </c>
      <c r="Q45" s="10">
        <v>0</v>
      </c>
      <c r="R45" s="10">
        <v>60909800000</v>
      </c>
      <c r="S45" s="10">
        <v>0</v>
      </c>
      <c r="T45" s="14">
        <v>60909800000</v>
      </c>
      <c r="U45" s="14">
        <v>6601862318.25</v>
      </c>
      <c r="V45" s="14">
        <v>54307937681.75</v>
      </c>
      <c r="W45" s="14">
        <v>361101909.81</v>
      </c>
      <c r="X45" s="14">
        <v>361101909.81</v>
      </c>
      <c r="Y45" s="16">
        <v>0.155</v>
      </c>
      <c r="Z45" s="16"/>
      <c r="AA45" s="10">
        <v>0</v>
      </c>
      <c r="AB45" s="10">
        <v>0</v>
      </c>
      <c r="AC45" s="10">
        <v>0</v>
      </c>
      <c r="AD45" s="10">
        <v>0</v>
      </c>
      <c r="AE45" s="10">
        <v>0</v>
      </c>
      <c r="AF45" s="14">
        <v>0</v>
      </c>
      <c r="AG45" s="14">
        <v>0</v>
      </c>
      <c r="AH45" s="14">
        <v>0</v>
      </c>
      <c r="AI45" s="14">
        <v>0</v>
      </c>
      <c r="AJ45" s="14">
        <v>0</v>
      </c>
      <c r="AK45" s="16"/>
      <c r="AL45" s="16"/>
      <c r="AM45" s="10">
        <v>0</v>
      </c>
      <c r="AN45" s="10">
        <v>0</v>
      </c>
      <c r="AO45" s="10">
        <v>0</v>
      </c>
      <c r="AP45" s="10">
        <v>0</v>
      </c>
      <c r="AQ45" s="10">
        <v>0</v>
      </c>
      <c r="AR45" s="14">
        <v>0</v>
      </c>
      <c r="AS45" s="14">
        <v>0</v>
      </c>
      <c r="AT45" s="14">
        <v>0</v>
      </c>
      <c r="AU45" s="14">
        <v>0</v>
      </c>
      <c r="AV45" s="14">
        <v>0</v>
      </c>
      <c r="AW45" s="16"/>
      <c r="AX45" s="16"/>
    </row>
    <row r="46" spans="1:50">
      <c r="A46" s="11" t="s">
        <v>250</v>
      </c>
      <c r="B46" s="11"/>
      <c r="C46" s="10">
        <v>614717629451</v>
      </c>
      <c r="D46" s="10">
        <v>0</v>
      </c>
      <c r="E46" s="10">
        <v>0</v>
      </c>
      <c r="F46" s="10">
        <v>614717629451</v>
      </c>
      <c r="G46" s="10">
        <v>369679862938</v>
      </c>
      <c r="H46" s="14">
        <v>245037766513</v>
      </c>
      <c r="I46" s="14">
        <v>160777855724.06</v>
      </c>
      <c r="J46" s="14">
        <v>84259910788.940002</v>
      </c>
      <c r="K46" s="14">
        <v>91477709349.139999</v>
      </c>
      <c r="L46" s="14">
        <v>91442521817.139999</v>
      </c>
      <c r="M46" s="16">
        <v>0.3500353589645675</v>
      </c>
      <c r="N46" s="16">
        <v>0.1620150267793902</v>
      </c>
      <c r="O46" s="10">
        <v>532206064451</v>
      </c>
      <c r="P46" s="10">
        <v>0</v>
      </c>
      <c r="Q46" s="10">
        <v>0</v>
      </c>
      <c r="R46" s="10">
        <v>532206064451</v>
      </c>
      <c r="S46" s="10">
        <v>369679862938</v>
      </c>
      <c r="T46" s="14">
        <v>162526201513</v>
      </c>
      <c r="U46" s="14">
        <v>79677281640.059998</v>
      </c>
      <c r="V46" s="14">
        <v>82848919872.940002</v>
      </c>
      <c r="W46" s="14">
        <v>10377135265.139999</v>
      </c>
      <c r="X46" s="14">
        <v>10341947733.139999</v>
      </c>
      <c r="Y46" s="16">
        <v>0.155</v>
      </c>
      <c r="Z46" s="16"/>
      <c r="AA46" s="10">
        <v>82511565000</v>
      </c>
      <c r="AB46" s="10">
        <v>0</v>
      </c>
      <c r="AC46" s="10">
        <v>0</v>
      </c>
      <c r="AD46" s="10">
        <v>82511565000</v>
      </c>
      <c r="AE46" s="10">
        <v>0</v>
      </c>
      <c r="AF46" s="14">
        <v>82511565000</v>
      </c>
      <c r="AG46" s="14">
        <v>81100574084</v>
      </c>
      <c r="AH46" s="14">
        <v>1410990916</v>
      </c>
      <c r="AI46" s="14">
        <v>81100574084</v>
      </c>
      <c r="AJ46" s="14">
        <v>81100574084</v>
      </c>
      <c r="AK46" s="16"/>
      <c r="AL46" s="16"/>
      <c r="AM46" s="10">
        <v>0</v>
      </c>
      <c r="AN46" s="10">
        <v>0</v>
      </c>
      <c r="AO46" s="10">
        <v>0</v>
      </c>
      <c r="AP46" s="10">
        <v>0</v>
      </c>
      <c r="AQ46" s="10">
        <v>0</v>
      </c>
      <c r="AR46" s="14">
        <v>0</v>
      </c>
      <c r="AS46" s="14">
        <v>0</v>
      </c>
      <c r="AT46" s="14">
        <v>0</v>
      </c>
      <c r="AU46" s="14">
        <v>0</v>
      </c>
      <c r="AV46" s="14">
        <v>0</v>
      </c>
      <c r="AW46" s="16"/>
      <c r="AX46" s="16"/>
    </row>
    <row r="47" spans="1:50">
      <c r="A47" s="11" t="s">
        <v>8</v>
      </c>
      <c r="B47" s="11" t="s">
        <v>427</v>
      </c>
      <c r="C47" s="10">
        <v>4242000000</v>
      </c>
      <c r="D47" s="10">
        <v>0</v>
      </c>
      <c r="E47" s="10">
        <v>0</v>
      </c>
      <c r="F47" s="10">
        <v>4242000000</v>
      </c>
      <c r="G47" s="10">
        <v>0</v>
      </c>
      <c r="H47" s="14">
        <v>4242000000</v>
      </c>
      <c r="I47" s="14">
        <v>0</v>
      </c>
      <c r="J47" s="14">
        <v>4242000000</v>
      </c>
      <c r="K47" s="14">
        <v>0</v>
      </c>
      <c r="L47" s="14">
        <v>0</v>
      </c>
      <c r="M47" s="16">
        <v>0.3500353589645675</v>
      </c>
      <c r="N47" s="16">
        <v>0.1620150267793902</v>
      </c>
      <c r="O47" s="10">
        <v>4242000000</v>
      </c>
      <c r="P47" s="10">
        <v>0</v>
      </c>
      <c r="Q47" s="10">
        <v>0</v>
      </c>
      <c r="R47" s="10">
        <v>4242000000</v>
      </c>
      <c r="S47" s="10">
        <v>0</v>
      </c>
      <c r="T47" s="14">
        <v>4242000000</v>
      </c>
      <c r="U47" s="14">
        <v>0</v>
      </c>
      <c r="V47" s="14">
        <v>4242000000</v>
      </c>
      <c r="W47" s="14">
        <v>0</v>
      </c>
      <c r="X47" s="14">
        <v>0</v>
      </c>
      <c r="Y47" s="16">
        <v>0.155</v>
      </c>
      <c r="Z47" s="16"/>
      <c r="AA47" s="10">
        <v>0</v>
      </c>
      <c r="AB47" s="10">
        <v>0</v>
      </c>
      <c r="AC47" s="10">
        <v>0</v>
      </c>
      <c r="AD47" s="10">
        <v>0</v>
      </c>
      <c r="AE47" s="10">
        <v>0</v>
      </c>
      <c r="AF47" s="14">
        <v>0</v>
      </c>
      <c r="AG47" s="14">
        <v>0</v>
      </c>
      <c r="AH47" s="14">
        <v>0</v>
      </c>
      <c r="AI47" s="14">
        <v>0</v>
      </c>
      <c r="AJ47" s="14">
        <v>0</v>
      </c>
      <c r="AK47" s="16"/>
      <c r="AL47" s="16"/>
      <c r="AM47" s="10">
        <v>0</v>
      </c>
      <c r="AN47" s="10">
        <v>0</v>
      </c>
      <c r="AO47" s="10">
        <v>0</v>
      </c>
      <c r="AP47" s="10">
        <v>0</v>
      </c>
      <c r="AQ47" s="10">
        <v>0</v>
      </c>
      <c r="AR47" s="14">
        <v>0</v>
      </c>
      <c r="AS47" s="14">
        <v>0</v>
      </c>
      <c r="AT47" s="14">
        <v>0</v>
      </c>
      <c r="AU47" s="14">
        <v>0</v>
      </c>
      <c r="AV47" s="14">
        <v>0</v>
      </c>
      <c r="AW47" s="16"/>
      <c r="AX47" s="16"/>
    </row>
    <row r="48" spans="1:50">
      <c r="A48" s="11" t="s">
        <v>8</v>
      </c>
      <c r="B48" s="11" t="s">
        <v>8</v>
      </c>
      <c r="C48" s="10">
        <v>90559823414</v>
      </c>
      <c r="D48" s="10">
        <v>0</v>
      </c>
      <c r="E48" s="10">
        <v>0</v>
      </c>
      <c r="F48" s="10">
        <v>90559823414</v>
      </c>
      <c r="G48" s="10">
        <v>0</v>
      </c>
      <c r="H48" s="14">
        <v>90559823414</v>
      </c>
      <c r="I48" s="14">
        <v>21905827396.529999</v>
      </c>
      <c r="J48" s="14">
        <v>68653996017.470001</v>
      </c>
      <c r="K48" s="14">
        <v>9128979293.8600006</v>
      </c>
      <c r="L48" s="14">
        <v>9128979293.8600006</v>
      </c>
      <c r="M48" s="16">
        <v>0.3500353589645675</v>
      </c>
      <c r="N48" s="16">
        <v>0.1620150267793902</v>
      </c>
      <c r="O48" s="10">
        <v>35476074635</v>
      </c>
      <c r="P48" s="10">
        <v>0</v>
      </c>
      <c r="Q48" s="10">
        <v>0</v>
      </c>
      <c r="R48" s="10">
        <v>35476074635</v>
      </c>
      <c r="S48" s="10">
        <v>0</v>
      </c>
      <c r="T48" s="14">
        <v>35476074635</v>
      </c>
      <c r="U48" s="14">
        <v>4982380692</v>
      </c>
      <c r="V48" s="14">
        <v>30493693943</v>
      </c>
      <c r="W48" s="14">
        <v>452134274</v>
      </c>
      <c r="X48" s="14">
        <v>452134274</v>
      </c>
      <c r="Y48" s="16">
        <v>0.155</v>
      </c>
      <c r="Z48" s="16"/>
      <c r="AA48" s="10">
        <v>54952000000</v>
      </c>
      <c r="AB48" s="10">
        <v>0</v>
      </c>
      <c r="AC48" s="10">
        <v>0</v>
      </c>
      <c r="AD48" s="10">
        <v>54952000000</v>
      </c>
      <c r="AE48" s="10">
        <v>0</v>
      </c>
      <c r="AF48" s="14">
        <v>54952000000</v>
      </c>
      <c r="AG48" s="14">
        <v>16923446704.530001</v>
      </c>
      <c r="AH48" s="14">
        <v>38028553295.470001</v>
      </c>
      <c r="AI48" s="14">
        <v>8676845019.8600006</v>
      </c>
      <c r="AJ48" s="14">
        <v>8676845019.8600006</v>
      </c>
      <c r="AK48" s="16"/>
      <c r="AL48" s="16"/>
      <c r="AM48" s="10">
        <v>131748779</v>
      </c>
      <c r="AN48" s="10">
        <v>0</v>
      </c>
      <c r="AO48" s="10">
        <v>0</v>
      </c>
      <c r="AP48" s="10">
        <v>131748779</v>
      </c>
      <c r="AQ48" s="10">
        <v>0</v>
      </c>
      <c r="AR48" s="14">
        <v>131748779</v>
      </c>
      <c r="AS48" s="14">
        <v>0</v>
      </c>
      <c r="AT48" s="14">
        <v>131748779</v>
      </c>
      <c r="AU48" s="14">
        <v>0</v>
      </c>
      <c r="AV48" s="14">
        <v>0</v>
      </c>
      <c r="AW48" s="16"/>
      <c r="AX48" s="16"/>
    </row>
    <row r="49" spans="1:50">
      <c r="A49" s="11" t="s">
        <v>251</v>
      </c>
      <c r="B49" s="11"/>
      <c r="C49" s="10">
        <v>94801823414</v>
      </c>
      <c r="D49" s="10">
        <v>0</v>
      </c>
      <c r="E49" s="10">
        <v>0</v>
      </c>
      <c r="F49" s="10">
        <v>94801823414</v>
      </c>
      <c r="G49" s="10">
        <v>0</v>
      </c>
      <c r="H49" s="14">
        <v>94801823414</v>
      </c>
      <c r="I49" s="14">
        <v>21905827396.529999</v>
      </c>
      <c r="J49" s="14">
        <v>72895996017.470001</v>
      </c>
      <c r="K49" s="14">
        <v>9128979293.8600006</v>
      </c>
      <c r="L49" s="14">
        <v>9128979293.8600006</v>
      </c>
      <c r="M49" s="16">
        <v>0.3500353589645675</v>
      </c>
      <c r="N49" s="16">
        <v>0.1620150267793902</v>
      </c>
      <c r="O49" s="10">
        <v>39718074635</v>
      </c>
      <c r="P49" s="10">
        <v>0</v>
      </c>
      <c r="Q49" s="10">
        <v>0</v>
      </c>
      <c r="R49" s="10">
        <v>39718074635</v>
      </c>
      <c r="S49" s="10">
        <v>0</v>
      </c>
      <c r="T49" s="14">
        <v>39718074635</v>
      </c>
      <c r="U49" s="14">
        <v>4982380692</v>
      </c>
      <c r="V49" s="14">
        <v>34735693943</v>
      </c>
      <c r="W49" s="14">
        <v>452134274</v>
      </c>
      <c r="X49" s="14">
        <v>452134274</v>
      </c>
      <c r="Y49" s="16">
        <v>0.155</v>
      </c>
      <c r="Z49" s="16"/>
      <c r="AA49" s="10">
        <v>54952000000</v>
      </c>
      <c r="AB49" s="10">
        <v>0</v>
      </c>
      <c r="AC49" s="10">
        <v>0</v>
      </c>
      <c r="AD49" s="10">
        <v>54952000000</v>
      </c>
      <c r="AE49" s="10">
        <v>0</v>
      </c>
      <c r="AF49" s="14">
        <v>54952000000</v>
      </c>
      <c r="AG49" s="14">
        <v>16923446704.530001</v>
      </c>
      <c r="AH49" s="14">
        <v>38028553295.470001</v>
      </c>
      <c r="AI49" s="14">
        <v>8676845019.8600006</v>
      </c>
      <c r="AJ49" s="14">
        <v>8676845019.8600006</v>
      </c>
      <c r="AK49" s="16"/>
      <c r="AL49" s="16"/>
      <c r="AM49" s="10">
        <v>131748779</v>
      </c>
      <c r="AN49" s="10">
        <v>0</v>
      </c>
      <c r="AO49" s="10">
        <v>0</v>
      </c>
      <c r="AP49" s="10">
        <v>131748779</v>
      </c>
      <c r="AQ49" s="10">
        <v>0</v>
      </c>
      <c r="AR49" s="14">
        <v>131748779</v>
      </c>
      <c r="AS49" s="14">
        <v>0</v>
      </c>
      <c r="AT49" s="14">
        <v>131748779</v>
      </c>
      <c r="AU49" s="14">
        <v>0</v>
      </c>
      <c r="AV49" s="14">
        <v>0</v>
      </c>
      <c r="AW49" s="16"/>
      <c r="AX49" s="16"/>
    </row>
    <row r="50" spans="1:50">
      <c r="A50" s="11" t="s">
        <v>6</v>
      </c>
      <c r="B50" s="244" t="s">
        <v>18</v>
      </c>
      <c r="C50" s="10">
        <v>7800000000</v>
      </c>
      <c r="D50" s="10">
        <v>0</v>
      </c>
      <c r="E50" s="10">
        <v>0</v>
      </c>
      <c r="F50" s="10">
        <v>7800000000</v>
      </c>
      <c r="G50" s="10">
        <v>0</v>
      </c>
      <c r="H50" s="14">
        <v>7800000000</v>
      </c>
      <c r="I50" s="14">
        <v>5731407384</v>
      </c>
      <c r="J50" s="14">
        <v>2068592616</v>
      </c>
      <c r="K50" s="14">
        <v>323421256.44</v>
      </c>
      <c r="L50" s="14">
        <v>323421256.44</v>
      </c>
      <c r="M50" s="16">
        <v>0.3500353589645675</v>
      </c>
      <c r="N50" s="16">
        <v>0.1620150267793902</v>
      </c>
      <c r="O50" s="10">
        <v>7800000000</v>
      </c>
      <c r="P50" s="10">
        <v>0</v>
      </c>
      <c r="Q50" s="10">
        <v>0</v>
      </c>
      <c r="R50" s="10">
        <v>7800000000</v>
      </c>
      <c r="S50" s="10">
        <v>0</v>
      </c>
      <c r="T50" s="14">
        <v>7800000000</v>
      </c>
      <c r="U50" s="14">
        <v>5731407384</v>
      </c>
      <c r="V50" s="14">
        <v>2068592616</v>
      </c>
      <c r="W50" s="14">
        <v>323421256.44</v>
      </c>
      <c r="X50" s="14">
        <v>323421256.44</v>
      </c>
      <c r="Y50" s="16">
        <v>0.155</v>
      </c>
      <c r="Z50" s="16"/>
      <c r="AA50" s="10">
        <v>0</v>
      </c>
      <c r="AB50" s="10">
        <v>0</v>
      </c>
      <c r="AC50" s="10">
        <v>0</v>
      </c>
      <c r="AD50" s="10">
        <v>0</v>
      </c>
      <c r="AE50" s="10">
        <v>0</v>
      </c>
      <c r="AF50" s="14">
        <v>0</v>
      </c>
      <c r="AG50" s="14">
        <v>0</v>
      </c>
      <c r="AH50" s="14">
        <v>0</v>
      </c>
      <c r="AI50" s="14">
        <v>0</v>
      </c>
      <c r="AJ50" s="14">
        <v>0</v>
      </c>
      <c r="AK50" s="16"/>
      <c r="AL50" s="16"/>
      <c r="AM50" s="10">
        <v>0</v>
      </c>
      <c r="AN50" s="10">
        <v>0</v>
      </c>
      <c r="AO50" s="10">
        <v>0</v>
      </c>
      <c r="AP50" s="10">
        <v>0</v>
      </c>
      <c r="AQ50" s="10">
        <v>0</v>
      </c>
      <c r="AR50" s="14">
        <v>0</v>
      </c>
      <c r="AS50" s="14">
        <v>0</v>
      </c>
      <c r="AT50" s="14">
        <v>0</v>
      </c>
      <c r="AU50" s="14">
        <v>0</v>
      </c>
      <c r="AV50" s="14">
        <v>0</v>
      </c>
      <c r="AW50" s="16"/>
      <c r="AX50" s="16"/>
    </row>
    <row r="51" spans="1:50">
      <c r="A51" s="11" t="s">
        <v>6</v>
      </c>
      <c r="B51" s="244" t="s">
        <v>19</v>
      </c>
      <c r="C51" s="10">
        <v>3113000000</v>
      </c>
      <c r="D51" s="10">
        <v>0</v>
      </c>
      <c r="E51" s="10">
        <v>0</v>
      </c>
      <c r="F51" s="10">
        <v>3113000000</v>
      </c>
      <c r="G51" s="10">
        <v>0</v>
      </c>
      <c r="H51" s="14">
        <v>3113000000</v>
      </c>
      <c r="I51" s="14">
        <v>1154596899</v>
      </c>
      <c r="J51" s="14">
        <v>1958403101</v>
      </c>
      <c r="K51" s="14">
        <v>70694183</v>
      </c>
      <c r="L51" s="14">
        <v>70694183</v>
      </c>
      <c r="M51" s="16">
        <v>0.3500353589645675</v>
      </c>
      <c r="N51" s="16">
        <v>0.1620150267793902</v>
      </c>
      <c r="O51" s="10">
        <v>3113000000</v>
      </c>
      <c r="P51" s="10">
        <v>0</v>
      </c>
      <c r="Q51" s="10">
        <v>0</v>
      </c>
      <c r="R51" s="10">
        <v>3113000000</v>
      </c>
      <c r="S51" s="10">
        <v>0</v>
      </c>
      <c r="T51" s="14">
        <v>3113000000</v>
      </c>
      <c r="U51" s="14">
        <v>1154596899</v>
      </c>
      <c r="V51" s="14">
        <v>1958403101</v>
      </c>
      <c r="W51" s="14">
        <v>70694183</v>
      </c>
      <c r="X51" s="14">
        <v>70694183</v>
      </c>
      <c r="Y51" s="16">
        <v>0.155</v>
      </c>
      <c r="Z51" s="16"/>
      <c r="AA51" s="10">
        <v>0</v>
      </c>
      <c r="AB51" s="10">
        <v>0</v>
      </c>
      <c r="AC51" s="10">
        <v>0</v>
      </c>
      <c r="AD51" s="10">
        <v>0</v>
      </c>
      <c r="AE51" s="10">
        <v>0</v>
      </c>
      <c r="AF51" s="14">
        <v>0</v>
      </c>
      <c r="AG51" s="14">
        <v>0</v>
      </c>
      <c r="AH51" s="14">
        <v>0</v>
      </c>
      <c r="AI51" s="14">
        <v>0</v>
      </c>
      <c r="AJ51" s="14">
        <v>0</v>
      </c>
      <c r="AK51" s="16"/>
      <c r="AL51" s="16"/>
      <c r="AM51" s="10">
        <v>0</v>
      </c>
      <c r="AN51" s="10">
        <v>0</v>
      </c>
      <c r="AO51" s="10">
        <v>0</v>
      </c>
      <c r="AP51" s="10">
        <v>0</v>
      </c>
      <c r="AQ51" s="10">
        <v>0</v>
      </c>
      <c r="AR51" s="14">
        <v>0</v>
      </c>
      <c r="AS51" s="14">
        <v>0</v>
      </c>
      <c r="AT51" s="14">
        <v>0</v>
      </c>
      <c r="AU51" s="14">
        <v>0</v>
      </c>
      <c r="AV51" s="14">
        <v>0</v>
      </c>
      <c r="AW51" s="16"/>
      <c r="AX51" s="16"/>
    </row>
    <row r="52" spans="1:50">
      <c r="A52" s="11" t="s">
        <v>6</v>
      </c>
      <c r="B52" s="244" t="s">
        <v>535</v>
      </c>
      <c r="C52" s="10">
        <v>3887000000</v>
      </c>
      <c r="D52" s="10">
        <v>0</v>
      </c>
      <c r="E52" s="10">
        <v>0</v>
      </c>
      <c r="F52" s="10">
        <v>3887000000</v>
      </c>
      <c r="G52" s="10">
        <v>0</v>
      </c>
      <c r="H52" s="14">
        <v>3887000000</v>
      </c>
      <c r="I52" s="14">
        <v>0</v>
      </c>
      <c r="J52" s="14">
        <v>3887000000</v>
      </c>
      <c r="K52" s="14">
        <v>0</v>
      </c>
      <c r="L52" s="14">
        <v>0</v>
      </c>
      <c r="M52" s="16">
        <v>0.3500353589645675</v>
      </c>
      <c r="N52" s="16">
        <v>0.1620150267793902</v>
      </c>
      <c r="O52" s="10">
        <v>3887000000</v>
      </c>
      <c r="P52" s="10">
        <v>0</v>
      </c>
      <c r="Q52" s="10">
        <v>0</v>
      </c>
      <c r="R52" s="10">
        <v>3887000000</v>
      </c>
      <c r="S52" s="10">
        <v>0</v>
      </c>
      <c r="T52" s="14">
        <v>3887000000</v>
      </c>
      <c r="U52" s="14">
        <v>0</v>
      </c>
      <c r="V52" s="14">
        <v>3887000000</v>
      </c>
      <c r="W52" s="14">
        <v>0</v>
      </c>
      <c r="X52" s="14">
        <v>0</v>
      </c>
      <c r="Y52" s="16">
        <v>0.155</v>
      </c>
      <c r="Z52" s="16"/>
      <c r="AA52" s="10">
        <v>0</v>
      </c>
      <c r="AB52" s="10">
        <v>0</v>
      </c>
      <c r="AC52" s="10">
        <v>0</v>
      </c>
      <c r="AD52" s="10">
        <v>0</v>
      </c>
      <c r="AE52" s="10">
        <v>0</v>
      </c>
      <c r="AF52" s="14">
        <v>0</v>
      </c>
      <c r="AG52" s="14">
        <v>0</v>
      </c>
      <c r="AH52" s="14">
        <v>0</v>
      </c>
      <c r="AI52" s="14">
        <v>0</v>
      </c>
      <c r="AJ52" s="14">
        <v>0</v>
      </c>
      <c r="AK52" s="16"/>
      <c r="AL52" s="16"/>
      <c r="AM52" s="10">
        <v>0</v>
      </c>
      <c r="AN52" s="10">
        <v>0</v>
      </c>
      <c r="AO52" s="10">
        <v>0</v>
      </c>
      <c r="AP52" s="10">
        <v>0</v>
      </c>
      <c r="AQ52" s="10">
        <v>0</v>
      </c>
      <c r="AR52" s="14">
        <v>0</v>
      </c>
      <c r="AS52" s="14">
        <v>0</v>
      </c>
      <c r="AT52" s="14">
        <v>0</v>
      </c>
      <c r="AU52" s="14">
        <v>0</v>
      </c>
      <c r="AV52" s="14">
        <v>0</v>
      </c>
      <c r="AW52" s="16"/>
      <c r="AX52" s="16"/>
    </row>
    <row r="53" spans="1:50">
      <c r="A53" s="11" t="s">
        <v>6</v>
      </c>
      <c r="B53" s="244" t="s">
        <v>277</v>
      </c>
      <c r="C53" s="10">
        <v>20900000000</v>
      </c>
      <c r="D53" s="10">
        <v>0</v>
      </c>
      <c r="E53" s="10">
        <v>0</v>
      </c>
      <c r="F53" s="10">
        <v>20900000000</v>
      </c>
      <c r="G53" s="10">
        <v>0</v>
      </c>
      <c r="H53" s="14">
        <v>20900000000</v>
      </c>
      <c r="I53" s="14">
        <v>5363452507</v>
      </c>
      <c r="J53" s="14">
        <v>15536547493</v>
      </c>
      <c r="K53" s="14">
        <v>278544797</v>
      </c>
      <c r="L53" s="14">
        <v>278544797</v>
      </c>
      <c r="M53" s="16">
        <v>0.3500353589645675</v>
      </c>
      <c r="N53" s="16">
        <v>0.1620150267793902</v>
      </c>
      <c r="O53" s="10">
        <v>20900000000</v>
      </c>
      <c r="P53" s="10">
        <v>0</v>
      </c>
      <c r="Q53" s="10">
        <v>0</v>
      </c>
      <c r="R53" s="10">
        <v>20900000000</v>
      </c>
      <c r="S53" s="10">
        <v>0</v>
      </c>
      <c r="T53" s="14">
        <v>20900000000</v>
      </c>
      <c r="U53" s="14">
        <v>5363452507</v>
      </c>
      <c r="V53" s="14">
        <v>15536547493</v>
      </c>
      <c r="W53" s="14">
        <v>278544797</v>
      </c>
      <c r="X53" s="14">
        <v>278544797</v>
      </c>
      <c r="Y53" s="16">
        <v>0.155</v>
      </c>
      <c r="Z53" s="16"/>
      <c r="AA53" s="10">
        <v>0</v>
      </c>
      <c r="AB53" s="10">
        <v>0</v>
      </c>
      <c r="AC53" s="10">
        <v>0</v>
      </c>
      <c r="AD53" s="10">
        <v>0</v>
      </c>
      <c r="AE53" s="10">
        <v>0</v>
      </c>
      <c r="AF53" s="14">
        <v>0</v>
      </c>
      <c r="AG53" s="14">
        <v>0</v>
      </c>
      <c r="AH53" s="14">
        <v>0</v>
      </c>
      <c r="AI53" s="14">
        <v>0</v>
      </c>
      <c r="AJ53" s="14">
        <v>0</v>
      </c>
      <c r="AK53" s="16"/>
      <c r="AL53" s="16"/>
      <c r="AM53" s="10">
        <v>0</v>
      </c>
      <c r="AN53" s="10">
        <v>0</v>
      </c>
      <c r="AO53" s="10">
        <v>0</v>
      </c>
      <c r="AP53" s="10">
        <v>0</v>
      </c>
      <c r="AQ53" s="10">
        <v>0</v>
      </c>
      <c r="AR53" s="14">
        <v>0</v>
      </c>
      <c r="AS53" s="14">
        <v>0</v>
      </c>
      <c r="AT53" s="14">
        <v>0</v>
      </c>
      <c r="AU53" s="14">
        <v>0</v>
      </c>
      <c r="AV53" s="14">
        <v>0</v>
      </c>
      <c r="AW53" s="16"/>
      <c r="AX53" s="16"/>
    </row>
    <row r="54" spans="1:50">
      <c r="A54" s="11" t="s">
        <v>6</v>
      </c>
      <c r="B54" s="244" t="s">
        <v>428</v>
      </c>
      <c r="C54" s="10">
        <v>17500000000</v>
      </c>
      <c r="D54" s="10">
        <v>0</v>
      </c>
      <c r="E54" s="10">
        <v>0</v>
      </c>
      <c r="F54" s="10">
        <v>17500000000</v>
      </c>
      <c r="G54" s="10">
        <v>0</v>
      </c>
      <c r="H54" s="14">
        <v>17500000000</v>
      </c>
      <c r="I54" s="14">
        <v>0</v>
      </c>
      <c r="J54" s="14">
        <v>17500000000</v>
      </c>
      <c r="K54" s="14">
        <v>0</v>
      </c>
      <c r="L54" s="14">
        <v>0</v>
      </c>
      <c r="M54" s="16">
        <v>0.3500353589645675</v>
      </c>
      <c r="N54" s="16">
        <v>0.1620150267793902</v>
      </c>
      <c r="O54" s="10">
        <v>17500000000</v>
      </c>
      <c r="P54" s="10">
        <v>0</v>
      </c>
      <c r="Q54" s="10">
        <v>0</v>
      </c>
      <c r="R54" s="10">
        <v>17500000000</v>
      </c>
      <c r="S54" s="10">
        <v>0</v>
      </c>
      <c r="T54" s="14">
        <v>17500000000</v>
      </c>
      <c r="U54" s="14">
        <v>0</v>
      </c>
      <c r="V54" s="14">
        <v>17500000000</v>
      </c>
      <c r="W54" s="14">
        <v>0</v>
      </c>
      <c r="X54" s="14">
        <v>0</v>
      </c>
      <c r="Y54" s="16">
        <v>0.155</v>
      </c>
      <c r="Z54" s="16"/>
      <c r="AA54" s="10">
        <v>0</v>
      </c>
      <c r="AB54" s="10">
        <v>0</v>
      </c>
      <c r="AC54" s="10">
        <v>0</v>
      </c>
      <c r="AD54" s="10">
        <v>0</v>
      </c>
      <c r="AE54" s="10">
        <v>0</v>
      </c>
      <c r="AF54" s="14">
        <v>0</v>
      </c>
      <c r="AG54" s="14">
        <v>0</v>
      </c>
      <c r="AH54" s="14">
        <v>0</v>
      </c>
      <c r="AI54" s="14">
        <v>0</v>
      </c>
      <c r="AJ54" s="14">
        <v>0</v>
      </c>
      <c r="AK54" s="16"/>
      <c r="AL54" s="16"/>
      <c r="AM54" s="10">
        <v>0</v>
      </c>
      <c r="AN54" s="10">
        <v>0</v>
      </c>
      <c r="AO54" s="10">
        <v>0</v>
      </c>
      <c r="AP54" s="10">
        <v>0</v>
      </c>
      <c r="AQ54" s="10">
        <v>0</v>
      </c>
      <c r="AR54" s="14">
        <v>0</v>
      </c>
      <c r="AS54" s="14">
        <v>0</v>
      </c>
      <c r="AT54" s="14">
        <v>0</v>
      </c>
      <c r="AU54" s="14">
        <v>0</v>
      </c>
      <c r="AV54" s="14">
        <v>0</v>
      </c>
      <c r="AW54" s="16"/>
      <c r="AX54" s="16"/>
    </row>
    <row r="55" spans="1:50">
      <c r="A55" s="11" t="s">
        <v>6</v>
      </c>
      <c r="B55" s="244" t="s">
        <v>235</v>
      </c>
      <c r="C55" s="10">
        <v>6000000000</v>
      </c>
      <c r="D55" s="10">
        <v>0</v>
      </c>
      <c r="E55" s="10">
        <v>0</v>
      </c>
      <c r="F55" s="10">
        <v>6000000000</v>
      </c>
      <c r="G55" s="10">
        <v>0</v>
      </c>
      <c r="H55" s="14">
        <v>6000000000</v>
      </c>
      <c r="I55" s="14">
        <v>3277224998</v>
      </c>
      <c r="J55" s="14">
        <v>2722775002</v>
      </c>
      <c r="K55" s="14">
        <v>237926665</v>
      </c>
      <c r="L55" s="14">
        <v>237926665</v>
      </c>
      <c r="M55" s="16">
        <v>0.3500353589645675</v>
      </c>
      <c r="N55" s="16">
        <v>0.1620150267793902</v>
      </c>
      <c r="O55" s="10">
        <v>6000000000</v>
      </c>
      <c r="P55" s="10">
        <v>0</v>
      </c>
      <c r="Q55" s="10">
        <v>0</v>
      </c>
      <c r="R55" s="10">
        <v>6000000000</v>
      </c>
      <c r="S55" s="10">
        <v>0</v>
      </c>
      <c r="T55" s="14">
        <v>6000000000</v>
      </c>
      <c r="U55" s="14">
        <v>3277224998</v>
      </c>
      <c r="V55" s="14">
        <v>2722775002</v>
      </c>
      <c r="W55" s="14">
        <v>237926665</v>
      </c>
      <c r="X55" s="14">
        <v>237926665</v>
      </c>
      <c r="Y55" s="16">
        <v>0.155</v>
      </c>
      <c r="Z55" s="16"/>
      <c r="AA55" s="10">
        <v>0</v>
      </c>
      <c r="AB55" s="10">
        <v>0</v>
      </c>
      <c r="AC55" s="10">
        <v>0</v>
      </c>
      <c r="AD55" s="10">
        <v>0</v>
      </c>
      <c r="AE55" s="10">
        <v>0</v>
      </c>
      <c r="AF55" s="14">
        <v>0</v>
      </c>
      <c r="AG55" s="14">
        <v>0</v>
      </c>
      <c r="AH55" s="14">
        <v>0</v>
      </c>
      <c r="AI55" s="14">
        <v>0</v>
      </c>
      <c r="AJ55" s="14">
        <v>0</v>
      </c>
      <c r="AK55" s="16"/>
      <c r="AL55" s="16"/>
      <c r="AM55" s="10">
        <v>0</v>
      </c>
      <c r="AN55" s="10">
        <v>0</v>
      </c>
      <c r="AO55" s="10">
        <v>0</v>
      </c>
      <c r="AP55" s="10">
        <v>0</v>
      </c>
      <c r="AQ55" s="10">
        <v>0</v>
      </c>
      <c r="AR55" s="14">
        <v>0</v>
      </c>
      <c r="AS55" s="14">
        <v>0</v>
      </c>
      <c r="AT55" s="14">
        <v>0</v>
      </c>
      <c r="AU55" s="14">
        <v>0</v>
      </c>
      <c r="AV55" s="14">
        <v>0</v>
      </c>
      <c r="AW55" s="16"/>
      <c r="AX55" s="16"/>
    </row>
    <row r="56" spans="1:50">
      <c r="A56" s="11" t="s">
        <v>6</v>
      </c>
      <c r="B56" s="244" t="s">
        <v>536</v>
      </c>
      <c r="C56" s="10">
        <v>5000000000</v>
      </c>
      <c r="D56" s="10">
        <v>0</v>
      </c>
      <c r="E56" s="10">
        <v>0</v>
      </c>
      <c r="F56" s="10">
        <v>5000000000</v>
      </c>
      <c r="G56" s="10">
        <v>0</v>
      </c>
      <c r="H56" s="14">
        <v>5000000000</v>
      </c>
      <c r="I56" s="14">
        <v>536868747</v>
      </c>
      <c r="J56" s="14">
        <v>4463131253</v>
      </c>
      <c r="K56" s="14">
        <v>13363869</v>
      </c>
      <c r="L56" s="14">
        <v>13363869</v>
      </c>
      <c r="M56" s="16">
        <v>0.3500353589645675</v>
      </c>
      <c r="N56" s="16">
        <v>0.1620150267793902</v>
      </c>
      <c r="O56" s="10">
        <v>5000000000</v>
      </c>
      <c r="P56" s="10">
        <v>0</v>
      </c>
      <c r="Q56" s="10">
        <v>0</v>
      </c>
      <c r="R56" s="10">
        <v>5000000000</v>
      </c>
      <c r="S56" s="10">
        <v>0</v>
      </c>
      <c r="T56" s="14">
        <v>5000000000</v>
      </c>
      <c r="U56" s="14">
        <v>536868747</v>
      </c>
      <c r="V56" s="14">
        <v>4463131253</v>
      </c>
      <c r="W56" s="14">
        <v>13363869</v>
      </c>
      <c r="X56" s="14">
        <v>13363869</v>
      </c>
      <c r="Y56" s="16">
        <v>0.155</v>
      </c>
      <c r="Z56" s="16"/>
      <c r="AA56" s="10">
        <v>0</v>
      </c>
      <c r="AB56" s="10">
        <v>0</v>
      </c>
      <c r="AC56" s="10">
        <v>0</v>
      </c>
      <c r="AD56" s="10">
        <v>0</v>
      </c>
      <c r="AE56" s="10">
        <v>0</v>
      </c>
      <c r="AF56" s="14">
        <v>0</v>
      </c>
      <c r="AG56" s="14">
        <v>0</v>
      </c>
      <c r="AH56" s="14">
        <v>0</v>
      </c>
      <c r="AI56" s="14">
        <v>0</v>
      </c>
      <c r="AJ56" s="14">
        <v>0</v>
      </c>
      <c r="AK56" s="16"/>
      <c r="AL56" s="16"/>
      <c r="AM56" s="10">
        <v>0</v>
      </c>
      <c r="AN56" s="10">
        <v>0</v>
      </c>
      <c r="AO56" s="10">
        <v>0</v>
      </c>
      <c r="AP56" s="10">
        <v>0</v>
      </c>
      <c r="AQ56" s="10">
        <v>0</v>
      </c>
      <c r="AR56" s="14">
        <v>0</v>
      </c>
      <c r="AS56" s="14">
        <v>0</v>
      </c>
      <c r="AT56" s="14">
        <v>0</v>
      </c>
      <c r="AU56" s="14">
        <v>0</v>
      </c>
      <c r="AV56" s="14">
        <v>0</v>
      </c>
      <c r="AW56" s="16"/>
      <c r="AX56" s="16"/>
    </row>
    <row r="57" spans="1:50">
      <c r="A57" s="11" t="s">
        <v>6</v>
      </c>
      <c r="B57" s="244" t="s">
        <v>234</v>
      </c>
      <c r="C57" s="10">
        <v>7600000000</v>
      </c>
      <c r="D57" s="10">
        <v>0</v>
      </c>
      <c r="E57" s="10">
        <v>0</v>
      </c>
      <c r="F57" s="10">
        <v>7600000000</v>
      </c>
      <c r="G57" s="10">
        <v>0</v>
      </c>
      <c r="H57" s="14">
        <v>7600000000</v>
      </c>
      <c r="I57" s="14">
        <v>2655156606</v>
      </c>
      <c r="J57" s="14">
        <v>4944843394</v>
      </c>
      <c r="K57" s="14">
        <v>213175037</v>
      </c>
      <c r="L57" s="14">
        <v>213175037</v>
      </c>
      <c r="M57" s="16">
        <v>0.3500353589645675</v>
      </c>
      <c r="N57" s="16">
        <v>0.1620150267793902</v>
      </c>
      <c r="O57" s="10">
        <v>7600000000</v>
      </c>
      <c r="P57" s="10">
        <v>0</v>
      </c>
      <c r="Q57" s="10">
        <v>0</v>
      </c>
      <c r="R57" s="10">
        <v>7600000000</v>
      </c>
      <c r="S57" s="10">
        <v>0</v>
      </c>
      <c r="T57" s="14">
        <v>7600000000</v>
      </c>
      <c r="U57" s="14">
        <v>2655156606</v>
      </c>
      <c r="V57" s="14">
        <v>4944843394</v>
      </c>
      <c r="W57" s="14">
        <v>213175037</v>
      </c>
      <c r="X57" s="14">
        <v>213175037</v>
      </c>
      <c r="Y57" s="16">
        <v>0.155</v>
      </c>
      <c r="Z57" s="16"/>
      <c r="AA57" s="10">
        <v>0</v>
      </c>
      <c r="AB57" s="10">
        <v>0</v>
      </c>
      <c r="AC57" s="10">
        <v>0</v>
      </c>
      <c r="AD57" s="10">
        <v>0</v>
      </c>
      <c r="AE57" s="10">
        <v>0</v>
      </c>
      <c r="AF57" s="14">
        <v>0</v>
      </c>
      <c r="AG57" s="14">
        <v>0</v>
      </c>
      <c r="AH57" s="14">
        <v>0</v>
      </c>
      <c r="AI57" s="14">
        <v>0</v>
      </c>
      <c r="AJ57" s="14">
        <v>0</v>
      </c>
      <c r="AK57" s="16"/>
      <c r="AL57" s="16"/>
      <c r="AM57" s="10">
        <v>0</v>
      </c>
      <c r="AN57" s="10">
        <v>0</v>
      </c>
      <c r="AO57" s="10">
        <v>0</v>
      </c>
      <c r="AP57" s="10">
        <v>0</v>
      </c>
      <c r="AQ57" s="10">
        <v>0</v>
      </c>
      <c r="AR57" s="14">
        <v>0</v>
      </c>
      <c r="AS57" s="14">
        <v>0</v>
      </c>
      <c r="AT57" s="14">
        <v>0</v>
      </c>
      <c r="AU57" s="14">
        <v>0</v>
      </c>
      <c r="AV57" s="14">
        <v>0</v>
      </c>
      <c r="AW57" s="16"/>
      <c r="AX57" s="16"/>
    </row>
    <row r="58" spans="1:50">
      <c r="A58" s="11" t="s">
        <v>6</v>
      </c>
      <c r="B58" s="244" t="s">
        <v>233</v>
      </c>
      <c r="C58" s="10">
        <v>7000000000</v>
      </c>
      <c r="D58" s="10">
        <v>0</v>
      </c>
      <c r="E58" s="10">
        <v>0</v>
      </c>
      <c r="F58" s="10">
        <v>7000000000</v>
      </c>
      <c r="G58" s="10">
        <v>0</v>
      </c>
      <c r="H58" s="14">
        <v>7000000000</v>
      </c>
      <c r="I58" s="14">
        <v>4629241884</v>
      </c>
      <c r="J58" s="14">
        <v>2370758116</v>
      </c>
      <c r="K58" s="14">
        <v>198007605</v>
      </c>
      <c r="L58" s="14">
        <v>198007605</v>
      </c>
      <c r="M58" s="16">
        <v>0.3500353589645675</v>
      </c>
      <c r="N58" s="16">
        <v>0.1620150267793902</v>
      </c>
      <c r="O58" s="10">
        <v>7000000000</v>
      </c>
      <c r="P58" s="10">
        <v>0</v>
      </c>
      <c r="Q58" s="10">
        <v>0</v>
      </c>
      <c r="R58" s="10">
        <v>7000000000</v>
      </c>
      <c r="S58" s="10">
        <v>0</v>
      </c>
      <c r="T58" s="14">
        <v>7000000000</v>
      </c>
      <c r="U58" s="14">
        <v>4629241884</v>
      </c>
      <c r="V58" s="14">
        <v>2370758116</v>
      </c>
      <c r="W58" s="14">
        <v>198007605</v>
      </c>
      <c r="X58" s="14">
        <v>198007605</v>
      </c>
      <c r="Y58" s="16">
        <v>0.155</v>
      </c>
      <c r="Z58" s="16"/>
      <c r="AA58" s="10">
        <v>0</v>
      </c>
      <c r="AB58" s="10">
        <v>0</v>
      </c>
      <c r="AC58" s="10">
        <v>0</v>
      </c>
      <c r="AD58" s="10">
        <v>0</v>
      </c>
      <c r="AE58" s="10">
        <v>0</v>
      </c>
      <c r="AF58" s="14">
        <v>0</v>
      </c>
      <c r="AG58" s="14">
        <v>0</v>
      </c>
      <c r="AH58" s="14">
        <v>0</v>
      </c>
      <c r="AI58" s="14">
        <v>0</v>
      </c>
      <c r="AJ58" s="14">
        <v>0</v>
      </c>
      <c r="AK58" s="16"/>
      <c r="AL58" s="16"/>
      <c r="AM58" s="10">
        <v>0</v>
      </c>
      <c r="AN58" s="10">
        <v>0</v>
      </c>
      <c r="AO58" s="10">
        <v>0</v>
      </c>
      <c r="AP58" s="10">
        <v>0</v>
      </c>
      <c r="AQ58" s="10">
        <v>0</v>
      </c>
      <c r="AR58" s="14">
        <v>0</v>
      </c>
      <c r="AS58" s="14">
        <v>0</v>
      </c>
      <c r="AT58" s="14">
        <v>0</v>
      </c>
      <c r="AU58" s="14">
        <v>0</v>
      </c>
      <c r="AV58" s="14">
        <v>0</v>
      </c>
      <c r="AW58" s="16"/>
      <c r="AX58" s="16"/>
    </row>
    <row r="59" spans="1:50">
      <c r="A59" s="11" t="s">
        <v>6</v>
      </c>
      <c r="B59" s="11" t="s">
        <v>259</v>
      </c>
      <c r="C59" s="10">
        <v>54658184758</v>
      </c>
      <c r="D59" s="10">
        <v>0</v>
      </c>
      <c r="E59" s="10">
        <v>0</v>
      </c>
      <c r="F59" s="10">
        <v>54658184758</v>
      </c>
      <c r="G59" s="10">
        <v>35321698237</v>
      </c>
      <c r="H59" s="14">
        <v>19336486521</v>
      </c>
      <c r="I59" s="14">
        <v>0</v>
      </c>
      <c r="J59" s="14">
        <v>19336486521</v>
      </c>
      <c r="K59" s="14">
        <v>0</v>
      </c>
      <c r="L59" s="14">
        <v>0</v>
      </c>
      <c r="M59" s="16">
        <v>0.3500353589645675</v>
      </c>
      <c r="N59" s="16">
        <v>0.1620150267793902</v>
      </c>
      <c r="O59" s="10">
        <v>43593405897</v>
      </c>
      <c r="P59" s="10">
        <v>0</v>
      </c>
      <c r="Q59" s="10">
        <v>0</v>
      </c>
      <c r="R59" s="10">
        <v>43593405897</v>
      </c>
      <c r="S59" s="10">
        <v>35321698237</v>
      </c>
      <c r="T59" s="14">
        <v>8271707660</v>
      </c>
      <c r="U59" s="14">
        <v>0</v>
      </c>
      <c r="V59" s="14">
        <v>8271707660</v>
      </c>
      <c r="W59" s="14">
        <v>0</v>
      </c>
      <c r="X59" s="14">
        <v>0</v>
      </c>
      <c r="Y59" s="16">
        <v>0.155</v>
      </c>
      <c r="Z59" s="16"/>
      <c r="AA59" s="10">
        <v>11064778861</v>
      </c>
      <c r="AB59" s="10">
        <v>0</v>
      </c>
      <c r="AC59" s="10">
        <v>0</v>
      </c>
      <c r="AD59" s="10">
        <v>11064778861</v>
      </c>
      <c r="AE59" s="10">
        <v>0</v>
      </c>
      <c r="AF59" s="14">
        <v>11064778861</v>
      </c>
      <c r="AG59" s="14">
        <v>0</v>
      </c>
      <c r="AH59" s="14">
        <v>11064778861</v>
      </c>
      <c r="AI59" s="14">
        <v>0</v>
      </c>
      <c r="AJ59" s="14">
        <v>0</v>
      </c>
      <c r="AK59" s="16"/>
      <c r="AL59" s="16"/>
      <c r="AM59" s="10">
        <v>0</v>
      </c>
      <c r="AN59" s="10">
        <v>0</v>
      </c>
      <c r="AO59" s="10">
        <v>0</v>
      </c>
      <c r="AP59" s="10">
        <v>0</v>
      </c>
      <c r="AQ59" s="10">
        <v>0</v>
      </c>
      <c r="AR59" s="14">
        <v>0</v>
      </c>
      <c r="AS59" s="14">
        <v>0</v>
      </c>
      <c r="AT59" s="14">
        <v>0</v>
      </c>
      <c r="AU59" s="14">
        <v>0</v>
      </c>
      <c r="AV59" s="14">
        <v>0</v>
      </c>
      <c r="AW59" s="16"/>
      <c r="AX59" s="16"/>
    </row>
    <row r="60" spans="1:50">
      <c r="A60" s="11" t="s">
        <v>6</v>
      </c>
      <c r="B60" s="11" t="s">
        <v>23</v>
      </c>
      <c r="C60" s="10">
        <v>13000000000</v>
      </c>
      <c r="D60" s="10">
        <v>0</v>
      </c>
      <c r="E60" s="10">
        <v>0</v>
      </c>
      <c r="F60" s="10">
        <v>13000000000</v>
      </c>
      <c r="G60" s="10">
        <v>0</v>
      </c>
      <c r="H60" s="14">
        <v>13000000000</v>
      </c>
      <c r="I60" s="14">
        <v>13000000000</v>
      </c>
      <c r="J60" s="14">
        <v>0</v>
      </c>
      <c r="K60" s="14">
        <v>3250000000</v>
      </c>
      <c r="L60" s="14">
        <v>3250000000</v>
      </c>
      <c r="M60" s="16">
        <v>0.3500353589645675</v>
      </c>
      <c r="N60" s="16">
        <v>0.1620150267793902</v>
      </c>
      <c r="O60" s="10">
        <v>13000000000</v>
      </c>
      <c r="P60" s="10">
        <v>0</v>
      </c>
      <c r="Q60" s="10">
        <v>0</v>
      </c>
      <c r="R60" s="10">
        <v>13000000000</v>
      </c>
      <c r="S60" s="10">
        <v>0</v>
      </c>
      <c r="T60" s="14">
        <v>13000000000</v>
      </c>
      <c r="U60" s="14">
        <v>13000000000</v>
      </c>
      <c r="V60" s="14">
        <v>0</v>
      </c>
      <c r="W60" s="14">
        <v>3250000000</v>
      </c>
      <c r="X60" s="14">
        <v>3250000000</v>
      </c>
      <c r="Y60" s="16">
        <v>0.155</v>
      </c>
      <c r="Z60" s="16"/>
      <c r="AA60" s="10">
        <v>0</v>
      </c>
      <c r="AB60" s="10">
        <v>0</v>
      </c>
      <c r="AC60" s="10">
        <v>0</v>
      </c>
      <c r="AD60" s="10">
        <v>0</v>
      </c>
      <c r="AE60" s="10">
        <v>0</v>
      </c>
      <c r="AF60" s="14">
        <v>0</v>
      </c>
      <c r="AG60" s="14">
        <v>0</v>
      </c>
      <c r="AH60" s="14">
        <v>0</v>
      </c>
      <c r="AI60" s="14">
        <v>0</v>
      </c>
      <c r="AJ60" s="14">
        <v>0</v>
      </c>
      <c r="AK60" s="16"/>
      <c r="AL60" s="16"/>
      <c r="AM60" s="10">
        <v>0</v>
      </c>
      <c r="AN60" s="10">
        <v>0</v>
      </c>
      <c r="AO60" s="10">
        <v>0</v>
      </c>
      <c r="AP60" s="10">
        <v>0</v>
      </c>
      <c r="AQ60" s="10">
        <v>0</v>
      </c>
      <c r="AR60" s="14">
        <v>0</v>
      </c>
      <c r="AS60" s="14">
        <v>0</v>
      </c>
      <c r="AT60" s="14">
        <v>0</v>
      </c>
      <c r="AU60" s="14">
        <v>0</v>
      </c>
      <c r="AV60" s="14">
        <v>0</v>
      </c>
      <c r="AW60" s="16"/>
      <c r="AX60" s="16"/>
    </row>
    <row r="61" spans="1:50">
      <c r="A61" s="11" t="s">
        <v>6</v>
      </c>
      <c r="B61" s="11" t="s">
        <v>22</v>
      </c>
      <c r="C61" s="10">
        <v>6500000000</v>
      </c>
      <c r="D61" s="10">
        <v>0</v>
      </c>
      <c r="E61" s="10">
        <v>0</v>
      </c>
      <c r="F61" s="10">
        <v>6500000000</v>
      </c>
      <c r="G61" s="10">
        <v>0</v>
      </c>
      <c r="H61" s="14">
        <v>6500000000</v>
      </c>
      <c r="I61" s="14">
        <v>6500000000</v>
      </c>
      <c r="J61" s="14">
        <v>0</v>
      </c>
      <c r="K61" s="14">
        <v>2056637366.6700001</v>
      </c>
      <c r="L61" s="14">
        <v>2056637366.6700001</v>
      </c>
      <c r="M61" s="16">
        <v>0.3500353589645675</v>
      </c>
      <c r="N61" s="16">
        <v>0.1620150267793902</v>
      </c>
      <c r="O61" s="10">
        <v>6500000000</v>
      </c>
      <c r="P61" s="10">
        <v>0</v>
      </c>
      <c r="Q61" s="10">
        <v>0</v>
      </c>
      <c r="R61" s="10">
        <v>6500000000</v>
      </c>
      <c r="S61" s="10">
        <v>0</v>
      </c>
      <c r="T61" s="14">
        <v>6500000000</v>
      </c>
      <c r="U61" s="14">
        <v>6500000000</v>
      </c>
      <c r="V61" s="14">
        <v>0</v>
      </c>
      <c r="W61" s="14">
        <v>2056637366.6700001</v>
      </c>
      <c r="X61" s="14">
        <v>2056637366.6700001</v>
      </c>
      <c r="Y61" s="16">
        <v>0.155</v>
      </c>
      <c r="Z61" s="16"/>
      <c r="AA61" s="10">
        <v>0</v>
      </c>
      <c r="AB61" s="10">
        <v>0</v>
      </c>
      <c r="AC61" s="10">
        <v>0</v>
      </c>
      <c r="AD61" s="10">
        <v>0</v>
      </c>
      <c r="AE61" s="10">
        <v>0</v>
      </c>
      <c r="AF61" s="14">
        <v>0</v>
      </c>
      <c r="AG61" s="14">
        <v>0</v>
      </c>
      <c r="AH61" s="14">
        <v>0</v>
      </c>
      <c r="AI61" s="14">
        <v>0</v>
      </c>
      <c r="AJ61" s="14">
        <v>0</v>
      </c>
      <c r="AK61" s="16"/>
      <c r="AL61" s="16"/>
      <c r="AM61" s="10">
        <v>0</v>
      </c>
      <c r="AN61" s="10">
        <v>0</v>
      </c>
      <c r="AO61" s="10">
        <v>0</v>
      </c>
      <c r="AP61" s="10">
        <v>0</v>
      </c>
      <c r="AQ61" s="10">
        <v>0</v>
      </c>
      <c r="AR61" s="14">
        <v>0</v>
      </c>
      <c r="AS61" s="14">
        <v>0</v>
      </c>
      <c r="AT61" s="14">
        <v>0</v>
      </c>
      <c r="AU61" s="14">
        <v>0</v>
      </c>
      <c r="AV61" s="14">
        <v>0</v>
      </c>
      <c r="AW61" s="16"/>
      <c r="AX61" s="16"/>
    </row>
    <row r="62" spans="1:50">
      <c r="A62" s="11" t="s">
        <v>6</v>
      </c>
      <c r="B62" s="11" t="s">
        <v>21</v>
      </c>
      <c r="C62" s="10">
        <v>11100000000</v>
      </c>
      <c r="D62" s="10">
        <v>0</v>
      </c>
      <c r="E62" s="10">
        <v>0</v>
      </c>
      <c r="F62" s="10">
        <v>11100000000</v>
      </c>
      <c r="G62" s="10">
        <v>0</v>
      </c>
      <c r="H62" s="14">
        <v>11100000000</v>
      </c>
      <c r="I62" s="14">
        <v>11100000000</v>
      </c>
      <c r="J62" s="14">
        <v>0</v>
      </c>
      <c r="K62" s="14">
        <v>2775000000</v>
      </c>
      <c r="L62" s="14">
        <v>2775000000</v>
      </c>
      <c r="M62" s="16">
        <v>0.3500353589645675</v>
      </c>
      <c r="N62" s="16">
        <v>0.1620150267793902</v>
      </c>
      <c r="O62" s="10">
        <v>11100000000</v>
      </c>
      <c r="P62" s="10">
        <v>0</v>
      </c>
      <c r="Q62" s="10">
        <v>0</v>
      </c>
      <c r="R62" s="10">
        <v>11100000000</v>
      </c>
      <c r="S62" s="10">
        <v>0</v>
      </c>
      <c r="T62" s="14">
        <v>11100000000</v>
      </c>
      <c r="U62" s="14">
        <v>11100000000</v>
      </c>
      <c r="V62" s="14">
        <v>0</v>
      </c>
      <c r="W62" s="14">
        <v>2775000000</v>
      </c>
      <c r="X62" s="14">
        <v>2775000000</v>
      </c>
      <c r="Y62" s="16">
        <v>0.155</v>
      </c>
      <c r="Z62" s="16"/>
      <c r="AA62" s="10">
        <v>0</v>
      </c>
      <c r="AB62" s="10">
        <v>0</v>
      </c>
      <c r="AC62" s="10">
        <v>0</v>
      </c>
      <c r="AD62" s="10">
        <v>0</v>
      </c>
      <c r="AE62" s="10">
        <v>0</v>
      </c>
      <c r="AF62" s="14">
        <v>0</v>
      </c>
      <c r="AG62" s="14">
        <v>0</v>
      </c>
      <c r="AH62" s="14">
        <v>0</v>
      </c>
      <c r="AI62" s="14">
        <v>0</v>
      </c>
      <c r="AJ62" s="14">
        <v>0</v>
      </c>
      <c r="AK62" s="16"/>
      <c r="AL62" s="16"/>
      <c r="AM62" s="10">
        <v>0</v>
      </c>
      <c r="AN62" s="10">
        <v>0</v>
      </c>
      <c r="AO62" s="10">
        <v>0</v>
      </c>
      <c r="AP62" s="10">
        <v>0</v>
      </c>
      <c r="AQ62" s="10">
        <v>0</v>
      </c>
      <c r="AR62" s="14">
        <v>0</v>
      </c>
      <c r="AS62" s="14">
        <v>0</v>
      </c>
      <c r="AT62" s="14">
        <v>0</v>
      </c>
      <c r="AU62" s="14">
        <v>0</v>
      </c>
      <c r="AV62" s="14">
        <v>0</v>
      </c>
      <c r="AW62" s="16"/>
      <c r="AX62" s="16"/>
    </row>
    <row r="63" spans="1:50">
      <c r="A63" s="11" t="s">
        <v>6</v>
      </c>
      <c r="B63" s="11" t="s">
        <v>351</v>
      </c>
      <c r="C63" s="10">
        <v>36287817921</v>
      </c>
      <c r="D63" s="10">
        <v>0</v>
      </c>
      <c r="E63" s="10">
        <v>0</v>
      </c>
      <c r="F63" s="10">
        <v>36287817921</v>
      </c>
      <c r="G63" s="10">
        <v>0</v>
      </c>
      <c r="H63" s="14">
        <v>36287817921</v>
      </c>
      <c r="I63" s="14">
        <v>36287817921</v>
      </c>
      <c r="J63" s="14">
        <v>0</v>
      </c>
      <c r="K63" s="14">
        <v>10722454481</v>
      </c>
      <c r="L63" s="14">
        <v>9983954481</v>
      </c>
      <c r="M63" s="16">
        <v>0.3500353589645675</v>
      </c>
      <c r="N63" s="16">
        <v>0.1620150267793902</v>
      </c>
      <c r="O63" s="10">
        <v>0</v>
      </c>
      <c r="P63" s="10">
        <v>0</v>
      </c>
      <c r="Q63" s="10">
        <v>0</v>
      </c>
      <c r="R63" s="10">
        <v>0</v>
      </c>
      <c r="S63" s="10">
        <v>0</v>
      </c>
      <c r="T63" s="14">
        <v>0</v>
      </c>
      <c r="U63" s="14">
        <v>0</v>
      </c>
      <c r="V63" s="14">
        <v>0</v>
      </c>
      <c r="W63" s="14">
        <v>0</v>
      </c>
      <c r="X63" s="14">
        <v>0</v>
      </c>
      <c r="Y63" s="16">
        <v>0.155</v>
      </c>
      <c r="Z63" s="16"/>
      <c r="AA63" s="10">
        <v>36287817921</v>
      </c>
      <c r="AB63" s="10">
        <v>0</v>
      </c>
      <c r="AC63" s="10">
        <v>0</v>
      </c>
      <c r="AD63" s="10">
        <v>36287817921</v>
      </c>
      <c r="AE63" s="10">
        <v>0</v>
      </c>
      <c r="AF63" s="14">
        <v>36287817921</v>
      </c>
      <c r="AG63" s="14">
        <v>36287817921</v>
      </c>
      <c r="AH63" s="14">
        <v>0</v>
      </c>
      <c r="AI63" s="14">
        <v>10722454481</v>
      </c>
      <c r="AJ63" s="14">
        <v>9983954481</v>
      </c>
      <c r="AK63" s="16"/>
      <c r="AL63" s="16"/>
      <c r="AM63" s="10">
        <v>0</v>
      </c>
      <c r="AN63" s="10">
        <v>0</v>
      </c>
      <c r="AO63" s="10">
        <v>0</v>
      </c>
      <c r="AP63" s="10">
        <v>0</v>
      </c>
      <c r="AQ63" s="10">
        <v>0</v>
      </c>
      <c r="AR63" s="14">
        <v>0</v>
      </c>
      <c r="AS63" s="14">
        <v>0</v>
      </c>
      <c r="AT63" s="14">
        <v>0</v>
      </c>
      <c r="AU63" s="14">
        <v>0</v>
      </c>
      <c r="AV63" s="14">
        <v>0</v>
      </c>
      <c r="AW63" s="16"/>
      <c r="AX63" s="16"/>
    </row>
    <row r="64" spans="1:50">
      <c r="A64" s="11" t="s">
        <v>6</v>
      </c>
      <c r="B64" s="244" t="s">
        <v>230</v>
      </c>
      <c r="C64" s="10">
        <v>3000000000</v>
      </c>
      <c r="D64" s="10">
        <v>0</v>
      </c>
      <c r="E64" s="10">
        <v>0</v>
      </c>
      <c r="F64" s="10">
        <v>3000000000</v>
      </c>
      <c r="G64" s="10">
        <v>0</v>
      </c>
      <c r="H64" s="14">
        <v>3000000000</v>
      </c>
      <c r="I64" s="14">
        <v>1705086243</v>
      </c>
      <c r="J64" s="14">
        <v>1294913757</v>
      </c>
      <c r="K64" s="14">
        <v>547043264.59000003</v>
      </c>
      <c r="L64" s="14">
        <v>547043264.59000003</v>
      </c>
      <c r="M64" s="16">
        <v>0.3500353589645675</v>
      </c>
      <c r="N64" s="16">
        <v>0.1620150267793902</v>
      </c>
      <c r="O64" s="10">
        <v>3000000000</v>
      </c>
      <c r="P64" s="10">
        <v>0</v>
      </c>
      <c r="Q64" s="10">
        <v>0</v>
      </c>
      <c r="R64" s="10">
        <v>3000000000</v>
      </c>
      <c r="S64" s="10">
        <v>0</v>
      </c>
      <c r="T64" s="14">
        <v>3000000000</v>
      </c>
      <c r="U64" s="14">
        <v>1705086243</v>
      </c>
      <c r="V64" s="14">
        <v>1294913757</v>
      </c>
      <c r="W64" s="14">
        <v>547043264.59000003</v>
      </c>
      <c r="X64" s="14">
        <v>547043264.59000003</v>
      </c>
      <c r="Y64" s="16">
        <v>0.155</v>
      </c>
      <c r="Z64" s="16"/>
      <c r="AA64" s="10">
        <v>0</v>
      </c>
      <c r="AB64" s="10">
        <v>0</v>
      </c>
      <c r="AC64" s="10">
        <v>0</v>
      </c>
      <c r="AD64" s="10">
        <v>0</v>
      </c>
      <c r="AE64" s="10">
        <v>0</v>
      </c>
      <c r="AF64" s="14">
        <v>0</v>
      </c>
      <c r="AG64" s="14">
        <v>0</v>
      </c>
      <c r="AH64" s="14">
        <v>0</v>
      </c>
      <c r="AI64" s="14">
        <v>0</v>
      </c>
      <c r="AJ64" s="14">
        <v>0</v>
      </c>
      <c r="AK64" s="16"/>
      <c r="AL64" s="16"/>
      <c r="AM64" s="10">
        <v>0</v>
      </c>
      <c r="AN64" s="10">
        <v>0</v>
      </c>
      <c r="AO64" s="10">
        <v>0</v>
      </c>
      <c r="AP64" s="10">
        <v>0</v>
      </c>
      <c r="AQ64" s="10">
        <v>0</v>
      </c>
      <c r="AR64" s="14">
        <v>0</v>
      </c>
      <c r="AS64" s="14">
        <v>0</v>
      </c>
      <c r="AT64" s="14">
        <v>0</v>
      </c>
      <c r="AU64" s="14">
        <v>0</v>
      </c>
      <c r="AV64" s="14">
        <v>0</v>
      </c>
      <c r="AW64" s="16"/>
      <c r="AX64" s="16"/>
    </row>
    <row r="65" spans="1:50">
      <c r="A65" s="11" t="s">
        <v>6</v>
      </c>
      <c r="B65" s="244" t="s">
        <v>276</v>
      </c>
      <c r="C65" s="10">
        <v>9000000000</v>
      </c>
      <c r="D65" s="10">
        <v>0</v>
      </c>
      <c r="E65" s="10">
        <v>0</v>
      </c>
      <c r="F65" s="10">
        <v>9000000000</v>
      </c>
      <c r="G65" s="10">
        <v>0</v>
      </c>
      <c r="H65" s="14">
        <v>9000000000</v>
      </c>
      <c r="I65" s="14">
        <v>3138875862.8299999</v>
      </c>
      <c r="J65" s="14">
        <v>5861124137.1700001</v>
      </c>
      <c r="K65" s="14">
        <v>196198290</v>
      </c>
      <c r="L65" s="14">
        <v>196198290</v>
      </c>
      <c r="M65" s="16">
        <v>0.3500353589645675</v>
      </c>
      <c r="N65" s="16">
        <v>0.1620150267793902</v>
      </c>
      <c r="O65" s="10">
        <v>9000000000</v>
      </c>
      <c r="P65" s="10">
        <v>0</v>
      </c>
      <c r="Q65" s="10">
        <v>0</v>
      </c>
      <c r="R65" s="10">
        <v>9000000000</v>
      </c>
      <c r="S65" s="10">
        <v>0</v>
      </c>
      <c r="T65" s="14">
        <v>9000000000</v>
      </c>
      <c r="U65" s="14">
        <v>3138875862.8299999</v>
      </c>
      <c r="V65" s="14">
        <v>5861124137.1700001</v>
      </c>
      <c r="W65" s="14">
        <v>196198290</v>
      </c>
      <c r="X65" s="14">
        <v>196198290</v>
      </c>
      <c r="Y65" s="16">
        <v>0.155</v>
      </c>
      <c r="Z65" s="16"/>
      <c r="AA65" s="10">
        <v>0</v>
      </c>
      <c r="AB65" s="10">
        <v>0</v>
      </c>
      <c r="AC65" s="10">
        <v>0</v>
      </c>
      <c r="AD65" s="10">
        <v>0</v>
      </c>
      <c r="AE65" s="10">
        <v>0</v>
      </c>
      <c r="AF65" s="14">
        <v>0</v>
      </c>
      <c r="AG65" s="14">
        <v>0</v>
      </c>
      <c r="AH65" s="14">
        <v>0</v>
      </c>
      <c r="AI65" s="14">
        <v>0</v>
      </c>
      <c r="AJ65" s="14">
        <v>0</v>
      </c>
      <c r="AK65" s="16"/>
      <c r="AL65" s="16"/>
      <c r="AM65" s="10">
        <v>0</v>
      </c>
      <c r="AN65" s="10">
        <v>0</v>
      </c>
      <c r="AO65" s="10">
        <v>0</v>
      </c>
      <c r="AP65" s="10">
        <v>0</v>
      </c>
      <c r="AQ65" s="10">
        <v>0</v>
      </c>
      <c r="AR65" s="14">
        <v>0</v>
      </c>
      <c r="AS65" s="14">
        <v>0</v>
      </c>
      <c r="AT65" s="14">
        <v>0</v>
      </c>
      <c r="AU65" s="14">
        <v>0</v>
      </c>
      <c r="AV65" s="14">
        <v>0</v>
      </c>
      <c r="AW65" s="16"/>
      <c r="AX65" s="16"/>
    </row>
    <row r="66" spans="1:50">
      <c r="A66" s="11" t="s">
        <v>6</v>
      </c>
      <c r="B66" s="244" t="s">
        <v>229</v>
      </c>
      <c r="C66" s="10">
        <v>2000000000</v>
      </c>
      <c r="D66" s="10">
        <v>0</v>
      </c>
      <c r="E66" s="10">
        <v>0</v>
      </c>
      <c r="F66" s="10">
        <v>2000000000</v>
      </c>
      <c r="G66" s="10">
        <v>0</v>
      </c>
      <c r="H66" s="14">
        <v>2000000000</v>
      </c>
      <c r="I66" s="14">
        <v>1906676542</v>
      </c>
      <c r="J66" s="14">
        <v>93323458</v>
      </c>
      <c r="K66" s="14">
        <v>163775739</v>
      </c>
      <c r="L66" s="14">
        <v>163775739</v>
      </c>
      <c r="M66" s="16">
        <v>0.3500353589645675</v>
      </c>
      <c r="N66" s="16">
        <v>0.1620150267793902</v>
      </c>
      <c r="O66" s="10">
        <v>2000000000</v>
      </c>
      <c r="P66" s="10">
        <v>0</v>
      </c>
      <c r="Q66" s="10">
        <v>0</v>
      </c>
      <c r="R66" s="10">
        <v>2000000000</v>
      </c>
      <c r="S66" s="10">
        <v>0</v>
      </c>
      <c r="T66" s="14">
        <v>2000000000</v>
      </c>
      <c r="U66" s="14">
        <v>1906676542</v>
      </c>
      <c r="V66" s="14">
        <v>93323458</v>
      </c>
      <c r="W66" s="14">
        <v>163775739</v>
      </c>
      <c r="X66" s="14">
        <v>163775739</v>
      </c>
      <c r="Y66" s="16">
        <v>0.155</v>
      </c>
      <c r="Z66" s="16"/>
      <c r="AA66" s="10">
        <v>0</v>
      </c>
      <c r="AB66" s="10">
        <v>0</v>
      </c>
      <c r="AC66" s="10">
        <v>0</v>
      </c>
      <c r="AD66" s="10">
        <v>0</v>
      </c>
      <c r="AE66" s="10">
        <v>0</v>
      </c>
      <c r="AF66" s="14">
        <v>0</v>
      </c>
      <c r="AG66" s="14">
        <v>0</v>
      </c>
      <c r="AH66" s="14">
        <v>0</v>
      </c>
      <c r="AI66" s="14">
        <v>0</v>
      </c>
      <c r="AJ66" s="14">
        <v>0</v>
      </c>
      <c r="AK66" s="16"/>
      <c r="AL66" s="16"/>
      <c r="AM66" s="10">
        <v>0</v>
      </c>
      <c r="AN66" s="10">
        <v>0</v>
      </c>
      <c r="AO66" s="10">
        <v>0</v>
      </c>
      <c r="AP66" s="10">
        <v>0</v>
      </c>
      <c r="AQ66" s="10">
        <v>0</v>
      </c>
      <c r="AR66" s="14">
        <v>0</v>
      </c>
      <c r="AS66" s="14">
        <v>0</v>
      </c>
      <c r="AT66" s="14">
        <v>0</v>
      </c>
      <c r="AU66" s="14">
        <v>0</v>
      </c>
      <c r="AV66" s="14">
        <v>0</v>
      </c>
      <c r="AW66" s="16"/>
      <c r="AX66" s="16"/>
    </row>
    <row r="67" spans="1:50">
      <c r="A67" s="11" t="s">
        <v>6</v>
      </c>
      <c r="B67" s="244" t="s">
        <v>232</v>
      </c>
      <c r="C67" s="10">
        <v>6500000000</v>
      </c>
      <c r="D67" s="10">
        <v>0</v>
      </c>
      <c r="E67" s="10">
        <v>0</v>
      </c>
      <c r="F67" s="10">
        <v>6500000000</v>
      </c>
      <c r="G67" s="10">
        <v>0</v>
      </c>
      <c r="H67" s="14">
        <v>6500000000</v>
      </c>
      <c r="I67" s="14">
        <v>2547300966</v>
      </c>
      <c r="J67" s="14">
        <v>3952699034</v>
      </c>
      <c r="K67" s="14">
        <v>222987136</v>
      </c>
      <c r="L67" s="14">
        <v>222987136</v>
      </c>
      <c r="M67" s="16">
        <v>0.3500353589645675</v>
      </c>
      <c r="N67" s="16">
        <v>0.1620150267793902</v>
      </c>
      <c r="O67" s="10">
        <v>6500000000</v>
      </c>
      <c r="P67" s="10">
        <v>0</v>
      </c>
      <c r="Q67" s="10">
        <v>0</v>
      </c>
      <c r="R67" s="10">
        <v>6500000000</v>
      </c>
      <c r="S67" s="10">
        <v>0</v>
      </c>
      <c r="T67" s="14">
        <v>6500000000</v>
      </c>
      <c r="U67" s="14">
        <v>2547300966</v>
      </c>
      <c r="V67" s="14">
        <v>3952699034</v>
      </c>
      <c r="W67" s="14">
        <v>222987136</v>
      </c>
      <c r="X67" s="14">
        <v>222987136</v>
      </c>
      <c r="Y67" s="16">
        <v>0.155</v>
      </c>
      <c r="Z67" s="16"/>
      <c r="AA67" s="10">
        <v>0</v>
      </c>
      <c r="AB67" s="10">
        <v>0</v>
      </c>
      <c r="AC67" s="10">
        <v>0</v>
      </c>
      <c r="AD67" s="10">
        <v>0</v>
      </c>
      <c r="AE67" s="10">
        <v>0</v>
      </c>
      <c r="AF67" s="14">
        <v>0</v>
      </c>
      <c r="AG67" s="14">
        <v>0</v>
      </c>
      <c r="AH67" s="14">
        <v>0</v>
      </c>
      <c r="AI67" s="14">
        <v>0</v>
      </c>
      <c r="AJ67" s="14">
        <v>0</v>
      </c>
      <c r="AK67" s="16"/>
      <c r="AL67" s="16"/>
      <c r="AM67" s="10">
        <v>0</v>
      </c>
      <c r="AN67" s="10">
        <v>0</v>
      </c>
      <c r="AO67" s="10">
        <v>0</v>
      </c>
      <c r="AP67" s="10">
        <v>0</v>
      </c>
      <c r="AQ67" s="10">
        <v>0</v>
      </c>
      <c r="AR67" s="14">
        <v>0</v>
      </c>
      <c r="AS67" s="14">
        <v>0</v>
      </c>
      <c r="AT67" s="14">
        <v>0</v>
      </c>
      <c r="AU67" s="14">
        <v>0</v>
      </c>
      <c r="AV67" s="14">
        <v>0</v>
      </c>
      <c r="AW67" s="16"/>
      <c r="AX67" s="16"/>
    </row>
    <row r="68" spans="1:50">
      <c r="A68" s="11" t="s">
        <v>6</v>
      </c>
      <c r="B68" s="244" t="s">
        <v>228</v>
      </c>
      <c r="C68" s="10">
        <v>9340503984</v>
      </c>
      <c r="D68" s="10">
        <v>0</v>
      </c>
      <c r="E68" s="10">
        <v>0</v>
      </c>
      <c r="F68" s="10">
        <v>9340503984</v>
      </c>
      <c r="G68" s="10">
        <v>0</v>
      </c>
      <c r="H68" s="14">
        <v>9340503984</v>
      </c>
      <c r="I68" s="14">
        <v>4799434657</v>
      </c>
      <c r="J68" s="14">
        <v>4541069327</v>
      </c>
      <c r="K68" s="14">
        <v>292830086</v>
      </c>
      <c r="L68" s="14">
        <v>292830086</v>
      </c>
      <c r="M68" s="16">
        <v>0.3500353589645675</v>
      </c>
      <c r="N68" s="16">
        <v>0.1620150267793902</v>
      </c>
      <c r="O68" s="10">
        <v>9340503984</v>
      </c>
      <c r="P68" s="10">
        <v>0</v>
      </c>
      <c r="Q68" s="10">
        <v>0</v>
      </c>
      <c r="R68" s="10">
        <v>9340503984</v>
      </c>
      <c r="S68" s="10">
        <v>0</v>
      </c>
      <c r="T68" s="14">
        <v>9340503984</v>
      </c>
      <c r="U68" s="14">
        <v>4799434657</v>
      </c>
      <c r="V68" s="14">
        <v>4541069327</v>
      </c>
      <c r="W68" s="14">
        <v>292830086</v>
      </c>
      <c r="X68" s="14">
        <v>292830086</v>
      </c>
      <c r="Y68" s="16">
        <v>0.155</v>
      </c>
      <c r="Z68" s="16"/>
      <c r="AA68" s="10">
        <v>0</v>
      </c>
      <c r="AB68" s="10">
        <v>0</v>
      </c>
      <c r="AC68" s="10">
        <v>0</v>
      </c>
      <c r="AD68" s="10">
        <v>0</v>
      </c>
      <c r="AE68" s="10">
        <v>0</v>
      </c>
      <c r="AF68" s="14">
        <v>0</v>
      </c>
      <c r="AG68" s="14">
        <v>0</v>
      </c>
      <c r="AH68" s="14">
        <v>0</v>
      </c>
      <c r="AI68" s="14">
        <v>0</v>
      </c>
      <c r="AJ68" s="14">
        <v>0</v>
      </c>
      <c r="AK68" s="16"/>
      <c r="AL68" s="16"/>
      <c r="AM68" s="10">
        <v>0</v>
      </c>
      <c r="AN68" s="10">
        <v>0</v>
      </c>
      <c r="AO68" s="10">
        <v>0</v>
      </c>
      <c r="AP68" s="10">
        <v>0</v>
      </c>
      <c r="AQ68" s="10">
        <v>0</v>
      </c>
      <c r="AR68" s="14">
        <v>0</v>
      </c>
      <c r="AS68" s="14">
        <v>0</v>
      </c>
      <c r="AT68" s="14">
        <v>0</v>
      </c>
      <c r="AU68" s="14">
        <v>0</v>
      </c>
      <c r="AV68" s="14">
        <v>0</v>
      </c>
      <c r="AW68" s="16"/>
      <c r="AX68" s="16"/>
    </row>
    <row r="69" spans="1:50">
      <c r="A69" s="11" t="s">
        <v>6</v>
      </c>
      <c r="B69" s="244" t="s">
        <v>236</v>
      </c>
      <c r="C69" s="10">
        <v>19000000000</v>
      </c>
      <c r="D69" s="10">
        <v>0</v>
      </c>
      <c r="E69" s="10">
        <v>0</v>
      </c>
      <c r="F69" s="10">
        <v>19000000000</v>
      </c>
      <c r="G69" s="10">
        <v>0</v>
      </c>
      <c r="H69" s="14">
        <v>19000000000</v>
      </c>
      <c r="I69" s="14">
        <v>3886600965</v>
      </c>
      <c r="J69" s="14">
        <v>15113399035</v>
      </c>
      <c r="K69" s="14">
        <v>166445757</v>
      </c>
      <c r="L69" s="14">
        <v>166445757</v>
      </c>
      <c r="M69" s="16">
        <v>0.3500353589645675</v>
      </c>
      <c r="N69" s="16">
        <v>0.1620150267793902</v>
      </c>
      <c r="O69" s="10">
        <v>19000000000</v>
      </c>
      <c r="P69" s="10">
        <v>0</v>
      </c>
      <c r="Q69" s="10">
        <v>0</v>
      </c>
      <c r="R69" s="10">
        <v>19000000000</v>
      </c>
      <c r="S69" s="10">
        <v>0</v>
      </c>
      <c r="T69" s="14">
        <v>19000000000</v>
      </c>
      <c r="U69" s="14">
        <v>3886600965</v>
      </c>
      <c r="V69" s="14">
        <v>15113399035</v>
      </c>
      <c r="W69" s="14">
        <v>166445757</v>
      </c>
      <c r="X69" s="14">
        <v>166445757</v>
      </c>
      <c r="Y69" s="16">
        <v>0.155</v>
      </c>
      <c r="Z69" s="16"/>
      <c r="AA69" s="10">
        <v>0</v>
      </c>
      <c r="AB69" s="10">
        <v>0</v>
      </c>
      <c r="AC69" s="10">
        <v>0</v>
      </c>
      <c r="AD69" s="10">
        <v>0</v>
      </c>
      <c r="AE69" s="10">
        <v>0</v>
      </c>
      <c r="AF69" s="14">
        <v>0</v>
      </c>
      <c r="AG69" s="14">
        <v>0</v>
      </c>
      <c r="AH69" s="14">
        <v>0</v>
      </c>
      <c r="AI69" s="14">
        <v>0</v>
      </c>
      <c r="AJ69" s="14">
        <v>0</v>
      </c>
      <c r="AK69" s="16"/>
      <c r="AL69" s="16"/>
      <c r="AM69" s="10">
        <v>0</v>
      </c>
      <c r="AN69" s="10">
        <v>0</v>
      </c>
      <c r="AO69" s="10">
        <v>0</v>
      </c>
      <c r="AP69" s="10">
        <v>0</v>
      </c>
      <c r="AQ69" s="10">
        <v>0</v>
      </c>
      <c r="AR69" s="14">
        <v>0</v>
      </c>
      <c r="AS69" s="14">
        <v>0</v>
      </c>
      <c r="AT69" s="14">
        <v>0</v>
      </c>
      <c r="AU69" s="14">
        <v>0</v>
      </c>
      <c r="AV69" s="14">
        <v>0</v>
      </c>
      <c r="AW69" s="16"/>
      <c r="AX69" s="16"/>
    </row>
    <row r="70" spans="1:50">
      <c r="A70" s="11" t="s">
        <v>6</v>
      </c>
      <c r="B70" s="244" t="s">
        <v>227</v>
      </c>
      <c r="C70" s="10">
        <v>12000000000</v>
      </c>
      <c r="D70" s="10">
        <v>0</v>
      </c>
      <c r="E70" s="10">
        <v>0</v>
      </c>
      <c r="F70" s="10">
        <v>12000000000</v>
      </c>
      <c r="G70" s="10">
        <v>0</v>
      </c>
      <c r="H70" s="14">
        <v>12000000000</v>
      </c>
      <c r="I70" s="14">
        <v>7020176135</v>
      </c>
      <c r="J70" s="14">
        <v>4979823865</v>
      </c>
      <c r="K70" s="14">
        <v>836828539.33000004</v>
      </c>
      <c r="L70" s="14">
        <v>836828539.33000004</v>
      </c>
      <c r="M70" s="16">
        <v>0.3500353589645675</v>
      </c>
      <c r="N70" s="16">
        <v>0.1620150267793902</v>
      </c>
      <c r="O70" s="10">
        <v>12000000000</v>
      </c>
      <c r="P70" s="10">
        <v>0</v>
      </c>
      <c r="Q70" s="10">
        <v>0</v>
      </c>
      <c r="R70" s="10">
        <v>12000000000</v>
      </c>
      <c r="S70" s="10">
        <v>0</v>
      </c>
      <c r="T70" s="14">
        <v>12000000000</v>
      </c>
      <c r="U70" s="14">
        <v>7020176135</v>
      </c>
      <c r="V70" s="14">
        <v>4979823865</v>
      </c>
      <c r="W70" s="14">
        <v>836828539.33000004</v>
      </c>
      <c r="X70" s="14">
        <v>836828539.33000004</v>
      </c>
      <c r="Y70" s="16">
        <v>0.155</v>
      </c>
      <c r="Z70" s="16">
        <v>0</v>
      </c>
      <c r="AA70" s="10">
        <v>0</v>
      </c>
      <c r="AB70" s="10">
        <v>0</v>
      </c>
      <c r="AC70" s="10">
        <v>0</v>
      </c>
      <c r="AD70" s="10">
        <v>0</v>
      </c>
      <c r="AE70" s="10">
        <v>0</v>
      </c>
      <c r="AF70" s="14">
        <v>0</v>
      </c>
      <c r="AG70" s="14">
        <v>0</v>
      </c>
      <c r="AH70" s="14">
        <v>0</v>
      </c>
      <c r="AI70" s="14">
        <v>0</v>
      </c>
      <c r="AJ70" s="14">
        <v>0</v>
      </c>
      <c r="AK70" s="16"/>
      <c r="AL70" s="16">
        <v>0</v>
      </c>
      <c r="AM70" s="10">
        <v>0</v>
      </c>
      <c r="AN70" s="10">
        <v>0</v>
      </c>
      <c r="AO70" s="10">
        <v>0</v>
      </c>
      <c r="AP70" s="10">
        <v>0</v>
      </c>
      <c r="AQ70" s="10">
        <v>0</v>
      </c>
      <c r="AR70" s="14">
        <v>0</v>
      </c>
      <c r="AS70" s="14">
        <v>0</v>
      </c>
      <c r="AT70" s="14">
        <v>0</v>
      </c>
      <c r="AU70" s="14">
        <v>0</v>
      </c>
      <c r="AV70" s="14">
        <v>0</v>
      </c>
      <c r="AW70" s="16"/>
      <c r="AX70" s="16">
        <v>0</v>
      </c>
    </row>
    <row r="71" spans="1:50">
      <c r="A71" s="11" t="s">
        <v>6</v>
      </c>
      <c r="B71" s="11" t="s">
        <v>20</v>
      </c>
      <c r="C71" s="10">
        <v>9400000000</v>
      </c>
      <c r="D71" s="10">
        <v>0</v>
      </c>
      <c r="E71" s="10">
        <v>0</v>
      </c>
      <c r="F71" s="10">
        <v>9400000000</v>
      </c>
      <c r="G71" s="10">
        <v>0</v>
      </c>
      <c r="H71" s="14">
        <v>9400000000</v>
      </c>
      <c r="I71" s="14">
        <v>9400000000</v>
      </c>
      <c r="J71" s="14">
        <v>0</v>
      </c>
      <c r="K71" s="14">
        <v>2350000000</v>
      </c>
      <c r="L71" s="14">
        <v>2350000000</v>
      </c>
      <c r="M71" s="16">
        <v>0.3500353589645675</v>
      </c>
      <c r="N71" s="16">
        <v>0.1620150267793902</v>
      </c>
      <c r="O71" s="10">
        <v>9400000000</v>
      </c>
      <c r="P71" s="10">
        <v>0</v>
      </c>
      <c r="Q71" s="10">
        <v>0</v>
      </c>
      <c r="R71" s="10">
        <v>9400000000</v>
      </c>
      <c r="S71" s="10">
        <v>0</v>
      </c>
      <c r="T71" s="14">
        <v>9400000000</v>
      </c>
      <c r="U71" s="14">
        <v>9400000000</v>
      </c>
      <c r="V71" s="14">
        <v>0</v>
      </c>
      <c r="W71" s="14">
        <v>2350000000</v>
      </c>
      <c r="X71" s="14">
        <v>2350000000</v>
      </c>
      <c r="Y71" s="16">
        <v>0.155</v>
      </c>
      <c r="Z71" s="16">
        <v>0</v>
      </c>
      <c r="AA71" s="10">
        <v>0</v>
      </c>
      <c r="AB71" s="10">
        <v>0</v>
      </c>
      <c r="AC71" s="10">
        <v>0</v>
      </c>
      <c r="AD71" s="10">
        <v>0</v>
      </c>
      <c r="AE71" s="10">
        <v>0</v>
      </c>
      <c r="AF71" s="14">
        <v>0</v>
      </c>
      <c r="AG71" s="14">
        <v>0</v>
      </c>
      <c r="AH71" s="14">
        <v>0</v>
      </c>
      <c r="AI71" s="14">
        <v>0</v>
      </c>
      <c r="AJ71" s="14">
        <v>0</v>
      </c>
      <c r="AK71" s="16"/>
      <c r="AL71" s="16">
        <v>0</v>
      </c>
      <c r="AM71" s="10">
        <v>0</v>
      </c>
      <c r="AN71" s="10">
        <v>0</v>
      </c>
      <c r="AO71" s="10">
        <v>0</v>
      </c>
      <c r="AP71" s="10">
        <v>0</v>
      </c>
      <c r="AQ71" s="10">
        <v>0</v>
      </c>
      <c r="AR71" s="14">
        <v>0</v>
      </c>
      <c r="AS71" s="14">
        <v>0</v>
      </c>
      <c r="AT71" s="14">
        <v>0</v>
      </c>
      <c r="AU71" s="14">
        <v>0</v>
      </c>
      <c r="AV71" s="14">
        <v>0</v>
      </c>
      <c r="AW71" s="16">
        <v>0</v>
      </c>
      <c r="AX71" s="16">
        <v>0</v>
      </c>
    </row>
    <row r="72" spans="1:50">
      <c r="A72" s="11" t="s">
        <v>6</v>
      </c>
      <c r="B72" s="11" t="s">
        <v>258</v>
      </c>
      <c r="C72" s="10">
        <v>68730929459</v>
      </c>
      <c r="D72" s="10">
        <v>0</v>
      </c>
      <c r="E72" s="10">
        <v>0</v>
      </c>
      <c r="F72" s="10">
        <v>68730929459</v>
      </c>
      <c r="G72" s="10">
        <v>0</v>
      </c>
      <c r="H72" s="14">
        <v>68730929459</v>
      </c>
      <c r="I72" s="14">
        <v>13919962773.099991</v>
      </c>
      <c r="J72" s="14">
        <v>54810966685.900009</v>
      </c>
      <c r="K72" s="14">
        <v>11182046675.940002</v>
      </c>
      <c r="L72" s="14">
        <v>10787303869.690002</v>
      </c>
      <c r="M72" s="16">
        <v>0.3500353589645675</v>
      </c>
      <c r="N72" s="16">
        <v>0.1620150267793902</v>
      </c>
      <c r="O72" s="10">
        <v>0</v>
      </c>
      <c r="P72" s="10">
        <v>0</v>
      </c>
      <c r="Q72" s="10">
        <v>0</v>
      </c>
      <c r="R72" s="10">
        <v>0</v>
      </c>
      <c r="S72" s="10">
        <v>0</v>
      </c>
      <c r="T72" s="14">
        <v>0</v>
      </c>
      <c r="U72" s="14">
        <v>0</v>
      </c>
      <c r="V72" s="14">
        <v>0</v>
      </c>
      <c r="W72" s="14">
        <v>0</v>
      </c>
      <c r="X72" s="14">
        <v>0</v>
      </c>
      <c r="Y72" s="16">
        <v>0.155</v>
      </c>
      <c r="Z72" s="16">
        <v>0</v>
      </c>
      <c r="AA72" s="10">
        <v>64613082964</v>
      </c>
      <c r="AB72" s="10">
        <v>0</v>
      </c>
      <c r="AC72" s="10">
        <v>0</v>
      </c>
      <c r="AD72" s="10">
        <v>64613082964</v>
      </c>
      <c r="AE72" s="10">
        <v>0</v>
      </c>
      <c r="AF72" s="14">
        <v>64613082964</v>
      </c>
      <c r="AG72" s="14">
        <v>13919962773.099998</v>
      </c>
      <c r="AH72" s="14">
        <v>50693120190.900002</v>
      </c>
      <c r="AI72" s="14">
        <v>11182046675.939999</v>
      </c>
      <c r="AJ72" s="14">
        <v>10787303869.689999</v>
      </c>
      <c r="AK72" s="16"/>
      <c r="AL72" s="16">
        <v>0</v>
      </c>
      <c r="AM72" s="10">
        <v>4117846495</v>
      </c>
      <c r="AN72" s="10">
        <v>0</v>
      </c>
      <c r="AO72" s="10">
        <v>0</v>
      </c>
      <c r="AP72" s="10">
        <v>4117846495</v>
      </c>
      <c r="AQ72" s="10">
        <v>0</v>
      </c>
      <c r="AR72" s="14">
        <v>4117846495</v>
      </c>
      <c r="AS72" s="14">
        <v>0</v>
      </c>
      <c r="AT72" s="14">
        <v>4117846495</v>
      </c>
      <c r="AU72" s="14">
        <v>0</v>
      </c>
      <c r="AV72" s="14">
        <v>0</v>
      </c>
      <c r="AW72" s="16">
        <v>0</v>
      </c>
      <c r="AX72" s="16">
        <v>0</v>
      </c>
    </row>
    <row r="73" spans="1:50">
      <c r="A73" s="11" t="s">
        <v>252</v>
      </c>
      <c r="B73" s="11"/>
      <c r="C73" s="10">
        <v>339317436122</v>
      </c>
      <c r="D73" s="10">
        <v>0</v>
      </c>
      <c r="E73" s="10">
        <v>0</v>
      </c>
      <c r="F73" s="10">
        <v>339317436122</v>
      </c>
      <c r="G73" s="10">
        <v>35321698237</v>
      </c>
      <c r="H73" s="14">
        <v>303995737885</v>
      </c>
      <c r="I73" s="14">
        <v>138559881089.92999</v>
      </c>
      <c r="J73" s="14">
        <v>165435856795.07001</v>
      </c>
      <c r="K73" s="14">
        <v>36097380747.970001</v>
      </c>
      <c r="L73" s="14">
        <v>34964137941.720001</v>
      </c>
      <c r="M73" s="16">
        <v>0.3500353589645675</v>
      </c>
      <c r="N73" s="16">
        <v>0.1620150267793902</v>
      </c>
      <c r="O73" s="10">
        <v>223233909881</v>
      </c>
      <c r="P73" s="10">
        <v>0</v>
      </c>
      <c r="Q73" s="10">
        <v>0</v>
      </c>
      <c r="R73" s="10">
        <v>223233909881</v>
      </c>
      <c r="S73" s="10">
        <v>35321698237</v>
      </c>
      <c r="T73" s="14">
        <v>187912211644</v>
      </c>
      <c r="U73" s="14">
        <v>88352100395.830002</v>
      </c>
      <c r="V73" s="14">
        <v>99560111248.169998</v>
      </c>
      <c r="W73" s="14">
        <v>14192879591.030001</v>
      </c>
      <c r="X73" s="14">
        <v>14192879591.030001</v>
      </c>
      <c r="Y73" s="16">
        <v>0.155</v>
      </c>
      <c r="Z73" s="16">
        <v>0</v>
      </c>
      <c r="AA73" s="10">
        <v>111965679746</v>
      </c>
      <c r="AB73" s="10">
        <v>0</v>
      </c>
      <c r="AC73" s="10">
        <v>0</v>
      </c>
      <c r="AD73" s="10">
        <v>111965679746</v>
      </c>
      <c r="AE73" s="10">
        <v>0</v>
      </c>
      <c r="AF73" s="14">
        <v>111965679746</v>
      </c>
      <c r="AG73" s="14">
        <v>50207780694.099998</v>
      </c>
      <c r="AH73" s="14">
        <v>61757899051.900002</v>
      </c>
      <c r="AI73" s="14">
        <v>21904501156.939999</v>
      </c>
      <c r="AJ73" s="14">
        <v>20771258350.689999</v>
      </c>
      <c r="AK73" s="16"/>
      <c r="AL73" s="16">
        <v>0</v>
      </c>
      <c r="AM73" s="10">
        <v>4117846495</v>
      </c>
      <c r="AN73" s="10">
        <v>0</v>
      </c>
      <c r="AO73" s="10">
        <v>0</v>
      </c>
      <c r="AP73" s="10">
        <v>4117846495</v>
      </c>
      <c r="AQ73" s="10">
        <v>0</v>
      </c>
      <c r="AR73" s="14">
        <v>4117846495</v>
      </c>
      <c r="AS73" s="14">
        <v>0</v>
      </c>
      <c r="AT73" s="14">
        <v>4117846495</v>
      </c>
      <c r="AU73" s="14">
        <v>0</v>
      </c>
      <c r="AV73" s="14">
        <v>0</v>
      </c>
      <c r="AW73" s="16"/>
      <c r="AX73" s="16"/>
    </row>
    <row r="74" spans="1:50">
      <c r="A74" s="11" t="s">
        <v>237</v>
      </c>
      <c r="B74" s="11" t="s">
        <v>237</v>
      </c>
      <c r="C74" s="10">
        <v>147008858567</v>
      </c>
      <c r="D74" s="10">
        <v>0</v>
      </c>
      <c r="E74" s="10">
        <v>0</v>
      </c>
      <c r="F74" s="10">
        <v>147008858567</v>
      </c>
      <c r="G74" s="10">
        <v>0</v>
      </c>
      <c r="H74" s="14">
        <v>147008858567</v>
      </c>
      <c r="I74" s="14">
        <v>53916312356.519997</v>
      </c>
      <c r="J74" s="14">
        <v>93092546210.479996</v>
      </c>
      <c r="K74" s="14">
        <v>11143622837.34</v>
      </c>
      <c r="L74" s="14">
        <v>11143622837.34</v>
      </c>
      <c r="M74" s="16">
        <v>0.3500353589645675</v>
      </c>
      <c r="N74" s="16">
        <v>0.1620150267793902</v>
      </c>
      <c r="O74" s="10">
        <v>90010744264</v>
      </c>
      <c r="P74" s="10">
        <v>0</v>
      </c>
      <c r="Q74" s="10">
        <v>0</v>
      </c>
      <c r="R74" s="10">
        <v>90010744264</v>
      </c>
      <c r="S74" s="10">
        <v>0</v>
      </c>
      <c r="T74" s="14">
        <v>90010744264</v>
      </c>
      <c r="U74" s="14">
        <v>38598884645.949997</v>
      </c>
      <c r="V74" s="14">
        <v>51411859618.050003</v>
      </c>
      <c r="W74" s="14">
        <v>1654243318</v>
      </c>
      <c r="X74" s="14">
        <v>1654243318</v>
      </c>
      <c r="Y74" s="16">
        <v>0.155</v>
      </c>
      <c r="Z74" s="16"/>
      <c r="AA74" s="10">
        <v>56889000000</v>
      </c>
      <c r="AB74" s="10">
        <v>0</v>
      </c>
      <c r="AC74" s="10">
        <v>0</v>
      </c>
      <c r="AD74" s="10">
        <v>56889000000</v>
      </c>
      <c r="AE74" s="10">
        <v>0</v>
      </c>
      <c r="AF74" s="14">
        <v>56889000000</v>
      </c>
      <c r="AG74" s="14">
        <v>15317427710.57</v>
      </c>
      <c r="AH74" s="14">
        <v>41571572289.43</v>
      </c>
      <c r="AI74" s="14">
        <v>9489379519.3400002</v>
      </c>
      <c r="AJ74" s="14">
        <v>9489379519.3400002</v>
      </c>
      <c r="AK74" s="16"/>
      <c r="AL74" s="16"/>
      <c r="AM74" s="10">
        <v>109114303</v>
      </c>
      <c r="AN74" s="10">
        <v>0</v>
      </c>
      <c r="AO74" s="10">
        <v>0</v>
      </c>
      <c r="AP74" s="10">
        <v>109114303</v>
      </c>
      <c r="AQ74" s="10">
        <v>0</v>
      </c>
      <c r="AR74" s="14">
        <v>109114303</v>
      </c>
      <c r="AS74" s="14">
        <v>0</v>
      </c>
      <c r="AT74" s="14">
        <v>109114303</v>
      </c>
      <c r="AU74" s="14">
        <v>0</v>
      </c>
      <c r="AV74" s="14">
        <v>0</v>
      </c>
      <c r="AW74" s="16"/>
      <c r="AX74" s="16"/>
    </row>
    <row r="75" spans="1:50" s="248" customFormat="1">
      <c r="A75" s="244" t="s">
        <v>253</v>
      </c>
      <c r="B75" s="244"/>
      <c r="C75" s="245">
        <v>147008858567</v>
      </c>
      <c r="D75" s="245">
        <v>0</v>
      </c>
      <c r="E75" s="245">
        <v>0</v>
      </c>
      <c r="F75" s="245">
        <v>147008858567</v>
      </c>
      <c r="G75" s="245">
        <v>0</v>
      </c>
      <c r="H75" s="246">
        <v>147008858567</v>
      </c>
      <c r="I75" s="246">
        <v>53916312356.519997</v>
      </c>
      <c r="J75" s="246">
        <v>93092546210.479996</v>
      </c>
      <c r="K75" s="246">
        <v>11143622837.34</v>
      </c>
      <c r="L75" s="246">
        <v>11143622837.34</v>
      </c>
      <c r="M75" s="247">
        <v>0.3500353589645675</v>
      </c>
      <c r="N75" s="247">
        <v>0.1620150267793902</v>
      </c>
      <c r="O75" s="245">
        <v>90010744264</v>
      </c>
      <c r="P75" s="245">
        <v>0</v>
      </c>
      <c r="Q75" s="245">
        <v>0</v>
      </c>
      <c r="R75" s="245">
        <v>90010744264</v>
      </c>
      <c r="S75" s="245">
        <v>0</v>
      </c>
      <c r="T75" s="246">
        <v>90010744264</v>
      </c>
      <c r="U75" s="246">
        <v>38598884645.949997</v>
      </c>
      <c r="V75" s="246">
        <v>51411859618.050003</v>
      </c>
      <c r="W75" s="246">
        <v>1654243318</v>
      </c>
      <c r="X75" s="246">
        <v>1654243318</v>
      </c>
      <c r="Y75" s="247">
        <v>0.155</v>
      </c>
      <c r="Z75" s="247"/>
      <c r="AA75" s="245">
        <v>56889000000</v>
      </c>
      <c r="AB75" s="245">
        <v>0</v>
      </c>
      <c r="AC75" s="245">
        <v>0</v>
      </c>
      <c r="AD75" s="245">
        <v>56889000000</v>
      </c>
      <c r="AE75" s="245">
        <v>0</v>
      </c>
      <c r="AF75" s="246">
        <v>56889000000</v>
      </c>
      <c r="AG75" s="246">
        <v>15317427710.57</v>
      </c>
      <c r="AH75" s="246">
        <v>41571572289.43</v>
      </c>
      <c r="AI75" s="246">
        <v>9489379519.3400002</v>
      </c>
      <c r="AJ75" s="246">
        <v>9489379519.3400002</v>
      </c>
      <c r="AK75" s="247"/>
      <c r="AL75" s="247"/>
      <c r="AM75" s="245">
        <v>109114303</v>
      </c>
      <c r="AN75" s="245">
        <v>0</v>
      </c>
      <c r="AO75" s="245">
        <v>0</v>
      </c>
      <c r="AP75" s="245">
        <v>109114303</v>
      </c>
      <c r="AQ75" s="245">
        <v>0</v>
      </c>
      <c r="AR75" s="246">
        <v>109114303</v>
      </c>
      <c r="AS75" s="246">
        <v>0</v>
      </c>
      <c r="AT75" s="246">
        <v>109114303</v>
      </c>
      <c r="AU75" s="246">
        <v>0</v>
      </c>
      <c r="AV75" s="246">
        <v>0</v>
      </c>
      <c r="AW75" s="247"/>
      <c r="AX75" s="247"/>
    </row>
    <row r="76" spans="1:50" s="248" customFormat="1">
      <c r="A76" s="244" t="s">
        <v>6</v>
      </c>
      <c r="B76" s="244" t="s">
        <v>260</v>
      </c>
      <c r="C76" s="245">
        <v>76287817921</v>
      </c>
      <c r="D76" s="245">
        <v>0</v>
      </c>
      <c r="E76" s="245">
        <v>0</v>
      </c>
      <c r="F76" s="245">
        <v>76287817921</v>
      </c>
      <c r="G76" s="245">
        <v>0</v>
      </c>
      <c r="H76" s="246">
        <v>76287817921</v>
      </c>
      <c r="I76" s="246">
        <v>76287817921</v>
      </c>
      <c r="J76" s="246">
        <v>0</v>
      </c>
      <c r="K76" s="246">
        <v>21154091847.669998</v>
      </c>
      <c r="L76" s="246">
        <v>20415591847.669998</v>
      </c>
      <c r="M76" s="247">
        <v>0.3500353589645675</v>
      </c>
      <c r="N76" s="247">
        <v>0.1620150267793902</v>
      </c>
      <c r="O76" s="245">
        <v>40000000000</v>
      </c>
      <c r="P76" s="245">
        <v>0</v>
      </c>
      <c r="Q76" s="245">
        <v>0</v>
      </c>
      <c r="R76" s="245">
        <v>40000000000</v>
      </c>
      <c r="S76" s="245">
        <v>0</v>
      </c>
      <c r="T76" s="246">
        <v>40000000000</v>
      </c>
      <c r="U76" s="246">
        <v>40000000000</v>
      </c>
      <c r="V76" s="246">
        <v>0</v>
      </c>
      <c r="W76" s="246">
        <v>10431637366.67</v>
      </c>
      <c r="X76" s="246">
        <v>10431637366.67</v>
      </c>
      <c r="Y76" s="247">
        <v>0.155</v>
      </c>
      <c r="Z76" s="247">
        <v>0</v>
      </c>
      <c r="AA76" s="245">
        <v>36287817921</v>
      </c>
      <c r="AB76" s="245">
        <v>0</v>
      </c>
      <c r="AC76" s="245">
        <v>0</v>
      </c>
      <c r="AD76" s="245">
        <v>36287817921</v>
      </c>
      <c r="AE76" s="245">
        <v>0</v>
      </c>
      <c r="AF76" s="246">
        <v>36287817921</v>
      </c>
      <c r="AG76" s="246">
        <v>36287817921</v>
      </c>
      <c r="AH76" s="246">
        <v>0</v>
      </c>
      <c r="AI76" s="246">
        <v>10722454481</v>
      </c>
      <c r="AJ76" s="246">
        <v>9983954481</v>
      </c>
      <c r="AK76" s="247">
        <v>0</v>
      </c>
      <c r="AL76" s="247">
        <v>0</v>
      </c>
      <c r="AM76" s="245">
        <v>0</v>
      </c>
      <c r="AN76" s="245">
        <v>0</v>
      </c>
      <c r="AO76" s="245">
        <v>0</v>
      </c>
      <c r="AP76" s="245">
        <v>0</v>
      </c>
      <c r="AQ76" s="245">
        <v>0</v>
      </c>
      <c r="AR76" s="246">
        <v>0</v>
      </c>
      <c r="AS76" s="246">
        <v>0</v>
      </c>
      <c r="AT76" s="246">
        <v>0</v>
      </c>
      <c r="AU76" s="246">
        <v>0</v>
      </c>
      <c r="AV76" s="246">
        <v>0</v>
      </c>
      <c r="AW76" s="247">
        <v>0</v>
      </c>
      <c r="AX76" s="247">
        <v>0</v>
      </c>
    </row>
    <row r="77" spans="1:50" s="248" customFormat="1">
      <c r="A77" s="244" t="s">
        <v>6</v>
      </c>
      <c r="B77" s="244" t="s">
        <v>264</v>
      </c>
      <c r="C77" s="245">
        <v>139640503984</v>
      </c>
      <c r="D77" s="245">
        <v>0</v>
      </c>
      <c r="E77" s="245">
        <v>0</v>
      </c>
      <c r="F77" s="245">
        <v>139640503984</v>
      </c>
      <c r="G77" s="245">
        <v>0</v>
      </c>
      <c r="H77" s="246">
        <v>139640503984</v>
      </c>
      <c r="I77" s="246">
        <v>48352100395.830002</v>
      </c>
      <c r="J77" s="246">
        <v>91288403588.169998</v>
      </c>
      <c r="K77" s="246">
        <v>3761242224.3600001</v>
      </c>
      <c r="L77" s="246">
        <v>3761242224.3600001</v>
      </c>
      <c r="M77" s="247">
        <v>0.3500353589645675</v>
      </c>
      <c r="N77" s="247">
        <v>0.1620150267793902</v>
      </c>
      <c r="O77" s="245">
        <v>139640503984</v>
      </c>
      <c r="P77" s="245">
        <v>0</v>
      </c>
      <c r="Q77" s="245">
        <v>0</v>
      </c>
      <c r="R77" s="245">
        <v>139640503984</v>
      </c>
      <c r="S77" s="245">
        <v>0</v>
      </c>
      <c r="T77" s="246">
        <v>139640503984</v>
      </c>
      <c r="U77" s="246">
        <v>48352100395.830002</v>
      </c>
      <c r="V77" s="246">
        <v>91288403588.169998</v>
      </c>
      <c r="W77" s="246">
        <v>3761242224.3600001</v>
      </c>
      <c r="X77" s="246">
        <v>3761242224.3600001</v>
      </c>
      <c r="Y77" s="247">
        <v>0.155</v>
      </c>
      <c r="Z77" s="247">
        <v>0</v>
      </c>
      <c r="AA77" s="245">
        <v>0</v>
      </c>
      <c r="AB77" s="245">
        <v>0</v>
      </c>
      <c r="AC77" s="245">
        <v>0</v>
      </c>
      <c r="AD77" s="245">
        <v>0</v>
      </c>
      <c r="AE77" s="245">
        <v>0</v>
      </c>
      <c r="AF77" s="246">
        <v>0</v>
      </c>
      <c r="AG77" s="246">
        <v>0</v>
      </c>
      <c r="AH77" s="246">
        <v>0</v>
      </c>
      <c r="AI77" s="246">
        <v>0</v>
      </c>
      <c r="AJ77" s="246">
        <v>0</v>
      </c>
      <c r="AK77" s="247">
        <v>0</v>
      </c>
      <c r="AL77" s="247">
        <v>0</v>
      </c>
      <c r="AM77" s="245">
        <v>0</v>
      </c>
      <c r="AN77" s="245">
        <v>0</v>
      </c>
      <c r="AO77" s="245">
        <v>0</v>
      </c>
      <c r="AP77" s="245">
        <v>0</v>
      </c>
      <c r="AQ77" s="245">
        <v>0</v>
      </c>
      <c r="AR77" s="246">
        <v>0</v>
      </c>
      <c r="AS77" s="246">
        <v>0</v>
      </c>
      <c r="AT77" s="246">
        <v>0</v>
      </c>
      <c r="AU77" s="246">
        <v>0</v>
      </c>
      <c r="AV77" s="246">
        <v>0</v>
      </c>
      <c r="AW77" s="247">
        <v>0</v>
      </c>
      <c r="AX77" s="247">
        <v>0</v>
      </c>
    </row>
    <row r="78" spans="1:50">
      <c r="A78" s="11"/>
      <c r="B78" s="11"/>
      <c r="C78" s="10"/>
      <c r="D78" s="10"/>
      <c r="E78" s="10"/>
      <c r="F78" s="10"/>
      <c r="G78" s="10"/>
      <c r="H78" s="14"/>
      <c r="I78" s="14"/>
      <c r="J78" s="14"/>
      <c r="K78" s="14"/>
      <c r="L78" s="14"/>
      <c r="M78" s="16"/>
      <c r="N78" s="16">
        <v>0.90400583040831983</v>
      </c>
      <c r="O78" s="10"/>
      <c r="P78" s="10"/>
      <c r="Q78" s="10"/>
      <c r="R78" s="10"/>
      <c r="S78" s="10"/>
      <c r="T78" s="14"/>
      <c r="U78" s="14"/>
      <c r="V78" s="14"/>
      <c r="W78" s="14"/>
      <c r="X78" s="14"/>
      <c r="Y78" s="16"/>
      <c r="Z78" s="16">
        <v>0</v>
      </c>
      <c r="AA78" s="10"/>
      <c r="AB78" s="10"/>
      <c r="AC78" s="10"/>
      <c r="AD78" s="10"/>
      <c r="AE78" s="10"/>
      <c r="AF78" s="14"/>
      <c r="AG78" s="14"/>
      <c r="AH78" s="14"/>
      <c r="AI78" s="14"/>
      <c r="AJ78" s="14"/>
      <c r="AK78" s="16"/>
      <c r="AL78" s="16">
        <v>0</v>
      </c>
      <c r="AM78" s="10"/>
      <c r="AN78" s="10"/>
      <c r="AO78" s="10"/>
      <c r="AP78" s="10"/>
      <c r="AQ78" s="10"/>
      <c r="AR78" s="14"/>
      <c r="AS78" s="14"/>
      <c r="AT78" s="14"/>
      <c r="AU78" s="14"/>
      <c r="AV78" s="14"/>
      <c r="AW78" s="16">
        <v>0</v>
      </c>
      <c r="AX78" s="16">
        <v>0</v>
      </c>
    </row>
    <row r="79" spans="1:50">
      <c r="A79" s="11"/>
      <c r="B79" s="11"/>
      <c r="C79" s="10"/>
      <c r="D79" s="10"/>
      <c r="E79" s="10"/>
      <c r="F79" s="10"/>
      <c r="G79" s="10"/>
      <c r="H79" s="14"/>
      <c r="I79" s="14"/>
      <c r="J79" s="14"/>
      <c r="K79" s="14"/>
      <c r="L79" s="14"/>
      <c r="M79" s="16"/>
      <c r="N79" s="16">
        <v>0.90400583040831983</v>
      </c>
      <c r="O79" s="10"/>
      <c r="P79" s="10"/>
      <c r="Q79" s="10"/>
      <c r="R79" s="10"/>
      <c r="S79" s="10"/>
      <c r="T79" s="14"/>
      <c r="U79" s="14"/>
      <c r="V79" s="14"/>
      <c r="W79" s="14"/>
      <c r="X79" s="14"/>
      <c r="Y79" s="16"/>
      <c r="Z79" s="16">
        <v>0</v>
      </c>
      <c r="AA79" s="10"/>
      <c r="AB79" s="10"/>
      <c r="AC79" s="10"/>
      <c r="AD79" s="10"/>
      <c r="AE79" s="10"/>
      <c r="AF79" s="14"/>
      <c r="AG79" s="14"/>
      <c r="AH79" s="14"/>
      <c r="AI79" s="14"/>
      <c r="AJ79" s="14"/>
      <c r="AK79" s="16"/>
      <c r="AL79" s="16">
        <v>0</v>
      </c>
      <c r="AM79" s="10"/>
      <c r="AN79" s="10"/>
      <c r="AO79" s="10"/>
      <c r="AP79" s="10"/>
      <c r="AQ79" s="10"/>
      <c r="AR79" s="14"/>
      <c r="AS79" s="14"/>
      <c r="AT79" s="14"/>
      <c r="AU79" s="14"/>
      <c r="AV79" s="14"/>
      <c r="AW79" s="16">
        <v>0</v>
      </c>
      <c r="AX79" s="16">
        <v>0</v>
      </c>
    </row>
    <row r="80" spans="1:50">
      <c r="A80" s="11"/>
      <c r="B80" s="11"/>
      <c r="C80" s="10"/>
      <c r="D80" s="10"/>
      <c r="E80" s="10"/>
      <c r="F80" s="10"/>
      <c r="G80" s="10"/>
      <c r="H80" s="14"/>
      <c r="I80" s="14"/>
      <c r="J80" s="14"/>
      <c r="K80" s="14"/>
      <c r="L80" s="14"/>
      <c r="M80" s="16"/>
      <c r="N80" s="16">
        <v>0.90400583040831983</v>
      </c>
      <c r="O80" s="10"/>
      <c r="P80" s="10"/>
      <c r="Q80" s="10"/>
      <c r="R80" s="10"/>
      <c r="S80" s="10"/>
      <c r="T80" s="14"/>
      <c r="U80" s="14"/>
      <c r="V80" s="14"/>
      <c r="W80" s="14"/>
      <c r="X80" s="14"/>
      <c r="Y80" s="16"/>
      <c r="Z80" s="16">
        <v>0</v>
      </c>
      <c r="AA80" s="10"/>
      <c r="AB80" s="10"/>
      <c r="AC80" s="10"/>
      <c r="AD80" s="10"/>
      <c r="AE80" s="10"/>
      <c r="AF80" s="14"/>
      <c r="AG80" s="14"/>
      <c r="AH80" s="14"/>
      <c r="AI80" s="14"/>
      <c r="AJ80" s="14"/>
      <c r="AK80" s="16"/>
      <c r="AL80" s="16">
        <v>0</v>
      </c>
      <c r="AM80" s="10"/>
      <c r="AN80" s="10"/>
      <c r="AO80" s="10"/>
      <c r="AP80" s="10"/>
      <c r="AQ80" s="10"/>
      <c r="AR80" s="14"/>
      <c r="AS80" s="14"/>
      <c r="AT80" s="14"/>
      <c r="AU80" s="14"/>
      <c r="AV80" s="14"/>
      <c r="AW80" s="16">
        <v>0</v>
      </c>
      <c r="AX80" s="16">
        <v>0</v>
      </c>
    </row>
    <row r="81" spans="1:50">
      <c r="A81" s="11"/>
      <c r="B81" s="11"/>
      <c r="C81" s="10"/>
      <c r="D81" s="10"/>
      <c r="E81" s="10"/>
      <c r="F81" s="10"/>
      <c r="G81" s="10"/>
      <c r="H81" s="14"/>
      <c r="I81" s="14"/>
      <c r="J81" s="14"/>
      <c r="K81" s="14"/>
      <c r="L81" s="14"/>
      <c r="M81" s="16"/>
      <c r="N81" s="16">
        <v>0.73220702599450438</v>
      </c>
      <c r="O81" s="10"/>
      <c r="P81" s="10"/>
      <c r="Q81" s="10"/>
      <c r="R81" s="10"/>
      <c r="S81" s="10"/>
      <c r="T81" s="14"/>
      <c r="U81" s="14"/>
      <c r="V81" s="14"/>
      <c r="W81" s="14"/>
      <c r="X81" s="14"/>
      <c r="Y81" s="16"/>
      <c r="Z81" s="16">
        <v>0</v>
      </c>
      <c r="AA81" s="10"/>
      <c r="AB81" s="10"/>
      <c r="AC81" s="10"/>
      <c r="AD81" s="10"/>
      <c r="AE81" s="10"/>
      <c r="AF81" s="14"/>
      <c r="AG81" s="14"/>
      <c r="AH81" s="14"/>
      <c r="AI81" s="14"/>
      <c r="AJ81" s="14"/>
      <c r="AK81" s="16"/>
      <c r="AL81" s="16">
        <v>0</v>
      </c>
      <c r="AM81" s="10"/>
      <c r="AN81" s="10"/>
      <c r="AO81" s="10"/>
      <c r="AP81" s="10"/>
      <c r="AQ81" s="10"/>
      <c r="AR81" s="14"/>
      <c r="AS81" s="14"/>
      <c r="AT81" s="14"/>
      <c r="AU81" s="14"/>
      <c r="AV81" s="14"/>
      <c r="AW81" s="16">
        <v>0</v>
      </c>
      <c r="AX81" s="16">
        <v>0</v>
      </c>
    </row>
    <row r="82" spans="1:50">
      <c r="A82" s="11"/>
      <c r="B82" s="11"/>
      <c r="C82" s="10"/>
      <c r="D82" s="10"/>
      <c r="E82" s="10"/>
      <c r="F82" s="10"/>
      <c r="G82" s="10"/>
      <c r="H82" s="14"/>
      <c r="I82" s="14"/>
      <c r="J82" s="14"/>
      <c r="K82" s="14"/>
      <c r="L82" s="14"/>
      <c r="M82" s="16"/>
      <c r="N82" s="16">
        <v>0.73220702599450438</v>
      </c>
      <c r="O82" s="10"/>
      <c r="P82" s="10"/>
      <c r="Q82" s="10"/>
      <c r="R82" s="10"/>
      <c r="S82" s="10"/>
      <c r="T82" s="14"/>
      <c r="U82" s="14"/>
      <c r="V82" s="14"/>
      <c r="W82" s="14"/>
      <c r="X82" s="14"/>
      <c r="Y82" s="16"/>
      <c r="Z82" s="16"/>
      <c r="AA82" s="10"/>
      <c r="AB82" s="10"/>
      <c r="AC82" s="10"/>
      <c r="AD82" s="10"/>
      <c r="AE82" s="10"/>
      <c r="AF82" s="14"/>
      <c r="AG82" s="14"/>
      <c r="AH82" s="14"/>
      <c r="AI82" s="14"/>
      <c r="AJ82" s="14"/>
      <c r="AK82" s="16"/>
      <c r="AL82" s="16"/>
      <c r="AM82" s="10"/>
      <c r="AN82" s="10"/>
      <c r="AO82" s="10"/>
      <c r="AP82" s="10"/>
      <c r="AQ82" s="10"/>
      <c r="AR82" s="14"/>
      <c r="AS82" s="14"/>
      <c r="AT82" s="14"/>
      <c r="AU82" s="14"/>
      <c r="AV82" s="14"/>
      <c r="AW82" s="16"/>
      <c r="AX82" s="16"/>
    </row>
    <row r="83" spans="1:50">
      <c r="G83" s="236"/>
      <c r="N83" s="13">
        <v>0.73220702599450438</v>
      </c>
      <c r="S83" s="236"/>
      <c r="AE83" s="236"/>
      <c r="AT83" s="236"/>
    </row>
    <row r="84" spans="1:50">
      <c r="N84" s="13">
        <v>0.73220702599450438</v>
      </c>
      <c r="W84" s="243">
        <f>W78-W77-W76</f>
        <v>-14192879591.030001</v>
      </c>
      <c r="Z84" s="13">
        <v>0</v>
      </c>
      <c r="AL84" s="13">
        <v>0</v>
      </c>
      <c r="AW84">
        <v>0</v>
      </c>
      <c r="AX84">
        <v>0</v>
      </c>
    </row>
    <row r="85" spans="1:50">
      <c r="N85" s="13">
        <v>0.73220702599450438</v>
      </c>
      <c r="W85" s="243">
        <f>+W77+W76+W75</f>
        <v>15847122909.030001</v>
      </c>
      <c r="Z85" s="13">
        <v>0</v>
      </c>
      <c r="AL85" s="13">
        <v>0</v>
      </c>
      <c r="AW85">
        <v>0</v>
      </c>
      <c r="AX85">
        <v>0</v>
      </c>
    </row>
    <row r="86" spans="1:50">
      <c r="W86" s="243">
        <f>+W85-W75</f>
        <v>14192879591.030001</v>
      </c>
    </row>
    <row r="87" spans="1:50">
      <c r="W87" s="243">
        <f>+W86-W77</f>
        <v>10431637366.67</v>
      </c>
    </row>
  </sheetData>
  <mergeCells count="4">
    <mergeCell ref="AA1:AL1"/>
    <mergeCell ref="A1:N1"/>
    <mergeCell ref="O1:Z1"/>
    <mergeCell ref="AM1:AX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N289"/>
  <sheetViews>
    <sheetView showGridLines="0" tabSelected="1" topLeftCell="A2" zoomScale="70" zoomScaleNormal="70" zoomScaleSheetLayoutView="72" workbookViewId="0">
      <pane ySplit="2" topLeftCell="A4" activePane="bottomLeft" state="frozen"/>
      <selection activeCell="A2" sqref="A2"/>
      <selection pane="bottomLeft" activeCell="E12" sqref="E12"/>
    </sheetView>
  </sheetViews>
  <sheetFormatPr baseColWidth="10" defaultRowHeight="18.75"/>
  <cols>
    <col min="1" max="1" width="23.140625" customWidth="1"/>
    <col min="2" max="2" width="24.140625" hidden="1" customWidth="1"/>
    <col min="3" max="3" width="22.28515625" customWidth="1"/>
    <col min="4" max="5" width="13.7109375" customWidth="1"/>
    <col min="6" max="6" width="19.140625" customWidth="1"/>
    <col min="7" max="7" width="14" hidden="1" customWidth="1"/>
    <col min="8" max="8" width="19.5703125" hidden="1" customWidth="1"/>
    <col min="9" max="9" width="18.28515625" hidden="1" customWidth="1"/>
    <col min="10" max="10" width="7.5703125" style="33" hidden="1" customWidth="1"/>
    <col min="11" max="11" width="13" hidden="1" customWidth="1"/>
    <col min="12" max="12" width="10.85546875" hidden="1" customWidth="1"/>
    <col min="13" max="13" width="3.42578125" style="59" hidden="1" customWidth="1"/>
    <col min="14" max="14" width="13.42578125" hidden="1" customWidth="1"/>
    <col min="15" max="15" width="13" hidden="1" customWidth="1"/>
    <col min="16" max="16" width="7.5703125" style="33" hidden="1" customWidth="1"/>
    <col min="17" max="17" width="15.140625" hidden="1" customWidth="1"/>
    <col min="18" max="18" width="8.85546875" hidden="1" customWidth="1"/>
    <col min="19" max="19" width="4.42578125" style="59" hidden="1" customWidth="1"/>
    <col min="20" max="20" width="12.85546875" hidden="1" customWidth="1"/>
    <col min="21" max="21" width="7.5703125" hidden="1" customWidth="1"/>
    <col min="22" max="22" width="12.85546875" hidden="1" customWidth="1"/>
    <col min="23" max="23" width="11.42578125" hidden="1" customWidth="1"/>
    <col min="24" max="24" width="8.7109375" style="59" hidden="1" customWidth="1"/>
    <col min="25" max="25" width="1.42578125" hidden="1" customWidth="1"/>
    <col min="26" max="26" width="17" customWidth="1"/>
    <col min="27" max="27" width="16" customWidth="1"/>
    <col min="28" max="28" width="5.28515625" style="59" customWidth="1"/>
    <col min="29" max="29" width="22" style="59" bestFit="1" customWidth="1"/>
    <col min="30" max="30" width="12.85546875" customWidth="1"/>
    <col min="31" max="31" width="9.42578125" customWidth="1"/>
    <col min="32" max="32" width="8.7109375" style="59" customWidth="1"/>
    <col min="33" max="33" width="2.7109375" customWidth="1"/>
    <col min="34" max="34" width="15.140625" customWidth="1"/>
    <col min="35" max="35" width="15.28515625" customWidth="1"/>
    <col min="36" max="36" width="16.28515625" customWidth="1"/>
    <col min="37" max="37" width="11.5703125" bestFit="1" customWidth="1"/>
    <col min="38" max="38" width="22.42578125" bestFit="1" customWidth="1"/>
    <col min="39" max="39" width="13.85546875" customWidth="1"/>
  </cols>
  <sheetData>
    <row r="1" spans="1:38" s="22" customFormat="1" hidden="1">
      <c r="A1" s="98" t="s">
        <v>284</v>
      </c>
      <c r="B1" s="338"/>
      <c r="C1" s="338"/>
      <c r="F1" s="338">
        <v>43865.291666666664</v>
      </c>
      <c r="G1" s="338"/>
      <c r="J1" s="99"/>
      <c r="M1" s="57"/>
      <c r="P1" s="99"/>
      <c r="S1" s="57"/>
      <c r="X1" s="144"/>
      <c r="AB1" s="57"/>
      <c r="AC1" s="57"/>
      <c r="AF1" s="57"/>
    </row>
    <row r="2" spans="1:38" ht="66.75" customHeight="1" thickTop="1">
      <c r="A2" s="314" t="s">
        <v>543</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6"/>
    </row>
    <row r="3" spans="1:38" ht="25.5" customHeight="1">
      <c r="A3" s="331" t="s">
        <v>283</v>
      </c>
      <c r="B3" s="332"/>
      <c r="C3" s="324">
        <f>Q3-1</f>
        <v>45026</v>
      </c>
      <c r="D3" s="324"/>
      <c r="E3" s="324"/>
      <c r="G3" s="107"/>
      <c r="H3" s="107"/>
      <c r="I3" s="100"/>
      <c r="J3" s="101"/>
      <c r="K3" s="100"/>
      <c r="L3" s="100"/>
      <c r="M3" s="102"/>
      <c r="N3" s="100"/>
      <c r="O3" s="103"/>
      <c r="P3" s="104"/>
      <c r="Q3" s="147">
        <v>45027</v>
      </c>
      <c r="R3" s="103"/>
      <c r="S3" s="105"/>
      <c r="T3" s="341"/>
      <c r="U3" s="341"/>
      <c r="V3" s="342"/>
      <c r="W3" s="342"/>
      <c r="X3" s="343"/>
      <c r="Y3" s="106"/>
      <c r="Z3" s="339"/>
      <c r="AA3" s="339"/>
      <c r="AB3" s="339"/>
      <c r="AC3" s="339"/>
      <c r="AD3" s="339"/>
      <c r="AE3" s="339"/>
      <c r="AF3" s="340"/>
    </row>
    <row r="4" spans="1:38" ht="45.95" customHeight="1">
      <c r="A4" s="292" t="str">
        <f>A14&amp;" + "&amp;A24&amp;" + "&amp;A34</f>
        <v>Inversión + Funcionamiento + Servicio a la Deuda</v>
      </c>
      <c r="B4" s="293"/>
      <c r="C4" s="293"/>
      <c r="D4" s="293"/>
      <c r="E4" s="293"/>
      <c r="F4" s="293"/>
      <c r="G4" s="293"/>
      <c r="H4" s="293"/>
      <c r="I4" s="294" t="s">
        <v>2</v>
      </c>
      <c r="J4" s="295"/>
      <c r="K4" s="295"/>
      <c r="L4" s="295"/>
      <c r="M4" s="295"/>
      <c r="N4" s="296" t="s">
        <v>367</v>
      </c>
      <c r="O4" s="298" t="s">
        <v>3</v>
      </c>
      <c r="P4" s="299"/>
      <c r="Q4" s="299"/>
      <c r="R4" s="299"/>
      <c r="S4" s="300"/>
      <c r="T4" s="301" t="s">
        <v>113</v>
      </c>
      <c r="U4" s="301"/>
      <c r="V4" s="301"/>
      <c r="W4" s="301"/>
      <c r="X4" s="302"/>
      <c r="Z4" s="299" t="s">
        <v>2</v>
      </c>
      <c r="AA4" s="299"/>
      <c r="AB4" s="300"/>
      <c r="AC4" s="296" t="s">
        <v>367</v>
      </c>
      <c r="AD4" s="299" t="s">
        <v>3</v>
      </c>
      <c r="AE4" s="299"/>
      <c r="AF4" s="308"/>
    </row>
    <row r="5" spans="1:38" ht="33" customHeight="1">
      <c r="A5" s="256" t="s">
        <v>0</v>
      </c>
      <c r="B5" s="257" t="s">
        <v>243</v>
      </c>
      <c r="C5" s="255" t="s">
        <v>361</v>
      </c>
      <c r="D5" s="257" t="s">
        <v>355</v>
      </c>
      <c r="E5" s="257" t="s">
        <v>356</v>
      </c>
      <c r="F5" s="255" t="s">
        <v>1</v>
      </c>
      <c r="G5" s="255" t="s">
        <v>362</v>
      </c>
      <c r="H5" s="255" t="s">
        <v>358</v>
      </c>
      <c r="I5" s="255" t="s">
        <v>257</v>
      </c>
      <c r="J5" s="266" t="s">
        <v>4</v>
      </c>
      <c r="K5" s="255" t="s">
        <v>5</v>
      </c>
      <c r="L5" s="303" t="s">
        <v>4</v>
      </c>
      <c r="M5" s="304"/>
      <c r="N5" s="297"/>
      <c r="O5" s="255" t="str">
        <f>I5</f>
        <v>Meta</v>
      </c>
      <c r="P5" s="266" t="s">
        <v>4</v>
      </c>
      <c r="Q5" s="255" t="s">
        <v>5</v>
      </c>
      <c r="R5" s="303" t="s">
        <v>4</v>
      </c>
      <c r="S5" s="304"/>
      <c r="T5" s="255" t="str">
        <f>O5</f>
        <v>Meta</v>
      </c>
      <c r="U5" s="255" t="s">
        <v>4</v>
      </c>
      <c r="V5" s="255" t="s">
        <v>5</v>
      </c>
      <c r="W5" s="303" t="s">
        <v>4</v>
      </c>
      <c r="X5" s="305"/>
      <c r="Z5" s="255" t="s">
        <v>5</v>
      </c>
      <c r="AA5" s="303" t="s">
        <v>4</v>
      </c>
      <c r="AB5" s="304"/>
      <c r="AC5" s="297"/>
      <c r="AD5" s="255" t="s">
        <v>5</v>
      </c>
      <c r="AE5" s="303" t="s">
        <v>4</v>
      </c>
      <c r="AF5" s="309"/>
    </row>
    <row r="6" spans="1:38" s="96" customFormat="1" ht="24.75" customHeight="1">
      <c r="A6" s="38" t="s">
        <v>6</v>
      </c>
      <c r="B6" s="34" t="s">
        <v>252</v>
      </c>
      <c r="C6" s="91">
        <f>VLOOKUP(B6,REPORTE!$A$3:$AS$200,3,FALSE)/1000000</f>
        <v>339317.43612199998</v>
      </c>
      <c r="D6" s="91">
        <f>VLOOKUP(B6,REPORTE!$A$3:$AS$200,4,FALSE)/1000000</f>
        <v>0</v>
      </c>
      <c r="E6" s="91">
        <f>VLOOKUP(B6,REPORTE!$A$3:$AS$200,5,FALSE)/1000000</f>
        <v>0</v>
      </c>
      <c r="F6" s="91">
        <f>VLOOKUP(B6,REPORTE!$A$3:$AS$200,6,FALSE)/1000000</f>
        <v>339317.43612199998</v>
      </c>
      <c r="G6" s="91">
        <f>(VLOOKUP(B6,REPORTE!$A$3:$AS$200,7,FALSE)/1000000)</f>
        <v>35321.698236999997</v>
      </c>
      <c r="H6" s="91">
        <f>F6-G6</f>
        <v>303995.73788500001</v>
      </c>
      <c r="I6" s="91">
        <f>J6*$H6</f>
        <v>106409.25723427456</v>
      </c>
      <c r="J6" s="94">
        <f>REPORTE!$M$3</f>
        <v>0.3500353589645675</v>
      </c>
      <c r="K6" s="91">
        <f>VLOOKUP($B6,REPORTE!$A$3:$AS$200,9,FALSE)/1000000</f>
        <v>138559.88108992999</v>
      </c>
      <c r="L6" s="94">
        <f t="shared" ref="L6:L11" si="0">IF(H6=0,"",IF(H6="","",K6/$H6))</f>
        <v>0.45579547283767002</v>
      </c>
      <c r="M6" s="60">
        <f>L6/J6</f>
        <v>1.3021412299201698</v>
      </c>
      <c r="N6" s="91">
        <f>H6-K6</f>
        <v>165435.85679507002</v>
      </c>
      <c r="O6" s="91">
        <f>P6*$H6</f>
        <v>49251.877614258759</v>
      </c>
      <c r="P6" s="94">
        <f>REPORTE!$N$3</f>
        <v>0.1620150267793902</v>
      </c>
      <c r="Q6" s="91">
        <f>VLOOKUP($B6,REPORTE!$A$3:$AS$200,11,FALSE)/1000000</f>
        <v>36097.380747970004</v>
      </c>
      <c r="R6" s="94">
        <f>IF(H6=0,"",IF(H6="","",Q6/$H6))</f>
        <v>0.1187430488305907</v>
      </c>
      <c r="S6" s="60">
        <f t="shared" ref="S6:S12" si="1">R6/P6</f>
        <v>0.73291379936182499</v>
      </c>
      <c r="T6" s="95">
        <f>U6*$H6</f>
        <v>47119.339372175004</v>
      </c>
      <c r="U6" s="94">
        <f>REPORTE!$Y$3</f>
        <v>0.155</v>
      </c>
      <c r="V6" s="91">
        <f>VLOOKUP($B6,REPORTE!$A$3:$AS$200,12,FALSE)/1000000</f>
        <v>34964.137941720001</v>
      </c>
      <c r="W6" s="94">
        <f t="shared" ref="W6:W11" si="2">IF(H6=0,"",IF(H6="","",V6/$H6))</f>
        <v>0.11501522417707959</v>
      </c>
      <c r="X6" s="127">
        <f>W6/U6</f>
        <v>0.74203370436825544</v>
      </c>
      <c r="Y6" s="126"/>
      <c r="Z6" s="91">
        <f>VLOOKUP($B6,REPORTE!$A$3:$AS$200,9,FALSE)/1000000</f>
        <v>138559.88108992999</v>
      </c>
      <c r="AA6" s="94">
        <f>IF(F6=0,"",IF(F6="","",Z6/$F6))</f>
        <v>0.40834883899131974</v>
      </c>
      <c r="AB6" s="60">
        <f>AA6/$J6</f>
        <v>1.1665931127622311</v>
      </c>
      <c r="AC6" s="91">
        <f>F6-Z6</f>
        <v>200757.55503207</v>
      </c>
      <c r="AD6" s="91">
        <f>VLOOKUP($B6,REPORTE!$A$3:$AS$200,11,FALSE)/1000000</f>
        <v>36097.380747970004</v>
      </c>
      <c r="AE6" s="94">
        <f t="shared" ref="AE6:AE11" si="3">IF(F6=0,"",IF(F6="","",AD6/$F6))</f>
        <v>0.10638233378314034</v>
      </c>
      <c r="AF6" s="127">
        <f t="shared" ref="AF6:AF12" si="4">AE6/P6</f>
        <v>0.65662016602939666</v>
      </c>
    </row>
    <row r="7" spans="1:38" s="96" customFormat="1" ht="24.75" customHeight="1">
      <c r="A7" s="38" t="s">
        <v>237</v>
      </c>
      <c r="B7" s="34" t="s">
        <v>253</v>
      </c>
      <c r="C7" s="91">
        <f>(VLOOKUP(B7,REPORTE!$A$3:$AS$200,3,FALSE))/1000000</f>
        <v>147008.85856699999</v>
      </c>
      <c r="D7" s="91">
        <f>(VLOOKUP(B7,REPORTE!$A$3:$AS$200,4,FALSE))/1000000</f>
        <v>0</v>
      </c>
      <c r="E7" s="91">
        <f>(VLOOKUP(B7,REPORTE!$A$3:$AS$200,5,FALSE))/1000000</f>
        <v>0</v>
      </c>
      <c r="F7" s="91">
        <f>(VLOOKUP(B7,REPORTE!$A$3:$AS$200,6,FALSE))/1000000</f>
        <v>147008.85856699999</v>
      </c>
      <c r="G7" s="91">
        <f>(VLOOKUP(B7,REPORTE!$A$3:$AS$200,7,FALSE))/1000000</f>
        <v>0</v>
      </c>
      <c r="H7" s="91">
        <f t="shared" ref="H7:H10" si="5">F7-G7</f>
        <v>147008.85856699999</v>
      </c>
      <c r="I7" s="91">
        <f t="shared" ref="I7:I11" si="6">J7*$H7</f>
        <v>51458.298579471179</v>
      </c>
      <c r="J7" s="94">
        <f>$J$6</f>
        <v>0.3500353589645675</v>
      </c>
      <c r="K7" s="91">
        <f>(VLOOKUP($B7,REPORTE!$A$3:$AS$200,9,FALSE))/1000000</f>
        <v>53916.312356519993</v>
      </c>
      <c r="L7" s="94">
        <f t="shared" si="0"/>
        <v>0.3667555335241745</v>
      </c>
      <c r="M7" s="60">
        <f>L7/J7</f>
        <v>1.0477671016124388</v>
      </c>
      <c r="N7" s="91">
        <f t="shared" ref="N7:N11" si="7">H7-K7</f>
        <v>93092.546210479995</v>
      </c>
      <c r="O7" s="91">
        <f t="shared" ref="O7:O11" si="8">P7*$H7</f>
        <v>23817.64415754009</v>
      </c>
      <c r="P7" s="94">
        <f>$P$6</f>
        <v>0.1620150267793902</v>
      </c>
      <c r="Q7" s="91">
        <f>(VLOOKUP($B7,REPORTE!$A$3:$AS$200,11,FALSE))/1000000</f>
        <v>11143.622837340001</v>
      </c>
      <c r="R7" s="94">
        <f t="shared" ref="R7:R11" si="9">IF(H7=0,"",IF(H7="","",Q7/$H7))</f>
        <v>7.580239004618379E-2</v>
      </c>
      <c r="S7" s="60">
        <f t="shared" si="1"/>
        <v>0.46787258906176071</v>
      </c>
      <c r="T7" s="95">
        <f t="shared" ref="T7:T11" si="10">U7*$H7</f>
        <v>22786.373077884997</v>
      </c>
      <c r="U7" s="97">
        <f>$U$6</f>
        <v>0.155</v>
      </c>
      <c r="V7" s="91">
        <f>VLOOKUP($B7,REPORTE!$A$3:$AS$200,12,FALSE)/1000000</f>
        <v>11143.622837340001</v>
      </c>
      <c r="W7" s="94">
        <f t="shared" si="2"/>
        <v>7.580239004618379E-2</v>
      </c>
      <c r="X7" s="127">
        <f t="shared" ref="X7:X12" si="11">W7/U7</f>
        <v>0.48904767771731478</v>
      </c>
      <c r="Z7" s="91">
        <f>(VLOOKUP($B7,REPORTE!$A$3:$AS$200,9,FALSE))/1000000</f>
        <v>53916.312356519993</v>
      </c>
      <c r="AA7" s="94">
        <f t="shared" ref="AA7:AA11" si="12">IF(F7=0,"",IF(F7="","",Z7/$F7))</f>
        <v>0.3667555335241745</v>
      </c>
      <c r="AB7" s="60">
        <f t="shared" ref="AB7:AB12" si="13">AA7/$J7</f>
        <v>1.0477671016124388</v>
      </c>
      <c r="AC7" s="91">
        <f t="shared" ref="AC7:AC11" si="14">F7-Z7</f>
        <v>93092.546210479995</v>
      </c>
      <c r="AD7" s="91">
        <f>(VLOOKUP($B7,REPORTE!$A$3:$AS$200,11,FALSE))/1000000</f>
        <v>11143.622837340001</v>
      </c>
      <c r="AE7" s="94">
        <f t="shared" si="3"/>
        <v>7.580239004618379E-2</v>
      </c>
      <c r="AF7" s="127">
        <f t="shared" si="4"/>
        <v>0.46787258906176071</v>
      </c>
    </row>
    <row r="8" spans="1:38" s="96" customFormat="1" ht="24.75" customHeight="1">
      <c r="A8" s="38" t="s">
        <v>7</v>
      </c>
      <c r="B8" s="34" t="s">
        <v>248</v>
      </c>
      <c r="C8" s="91">
        <f>VLOOKUP(B8,REPORTE!$A$3:$AS$200,3,FALSE)/1000000</f>
        <v>85592.112940999999</v>
      </c>
      <c r="D8" s="91">
        <f>VLOOKUP(B8,REPORTE!$A$3:$AS$200,4,FALSE)/1000000</f>
        <v>0</v>
      </c>
      <c r="E8" s="91">
        <f>VLOOKUP(B8,REPORTE!$A$3:$AS$200,5,FALSE)/1000000</f>
        <v>0</v>
      </c>
      <c r="F8" s="91">
        <f>VLOOKUP(B8,REPORTE!$A$3:$AS$200,6,FALSE)/1000000</f>
        <v>85592.112940999999</v>
      </c>
      <c r="G8" s="91">
        <f>(VLOOKUP(B8,REPORTE!$A$3:$AS$200,7,FALSE)/1000000)</f>
        <v>4651.1000000000004</v>
      </c>
      <c r="H8" s="91">
        <f t="shared" si="5"/>
        <v>80941.012940999994</v>
      </c>
      <c r="I8" s="91">
        <f t="shared" si="6"/>
        <v>28332.216519758636</v>
      </c>
      <c r="J8" s="94">
        <f t="shared" ref="J8:J11" si="15">$J$6</f>
        <v>0.3500353589645675</v>
      </c>
      <c r="K8" s="91">
        <f>VLOOKUP($B8,REPORTE!$A$3:$AS$200,9,FALSE)/1000000</f>
        <v>27307.766154180001</v>
      </c>
      <c r="L8" s="94">
        <f t="shared" si="0"/>
        <v>0.33737860649316731</v>
      </c>
      <c r="M8" s="60">
        <f t="shared" ref="M8:M12" si="16">L8/J8</f>
        <v>0.96384150301603855</v>
      </c>
      <c r="N8" s="91">
        <f t="shared" si="7"/>
        <v>53633.246786819989</v>
      </c>
      <c r="O8" s="91">
        <f t="shared" si="8"/>
        <v>13113.660379187082</v>
      </c>
      <c r="P8" s="94">
        <f t="shared" ref="P8:P11" si="17">$P$6</f>
        <v>0.1620150267793902</v>
      </c>
      <c r="Q8" s="91">
        <f>VLOOKUP($B8,REPORTE!$A$3:$AS$200,11,FALSE)/1000000</f>
        <v>14967.48001084</v>
      </c>
      <c r="R8" s="94">
        <f t="shared" si="9"/>
        <v>0.1849183679199837</v>
      </c>
      <c r="S8" s="60">
        <f t="shared" si="1"/>
        <v>1.1413655362460924</v>
      </c>
      <c r="T8" s="91">
        <f t="shared" si="10"/>
        <v>12545.857005854999</v>
      </c>
      <c r="U8" s="97">
        <f t="shared" ref="U8:U12" si="18">$U$6</f>
        <v>0.155</v>
      </c>
      <c r="V8" s="91">
        <f>VLOOKUP($B8,REPORTE!$A$3:$AS$200,12,FALSE)/1000000</f>
        <v>14934.47116884</v>
      </c>
      <c r="W8" s="94">
        <f t="shared" si="2"/>
        <v>0.18451055436785951</v>
      </c>
      <c r="X8" s="127">
        <f t="shared" si="11"/>
        <v>1.1903906733410292</v>
      </c>
      <c r="Z8" s="91">
        <f>VLOOKUP($B8,REPORTE!$A$3:$AS$200,9,FALSE)/1000000</f>
        <v>27307.766154180001</v>
      </c>
      <c r="AA8" s="94">
        <f t="shared" si="12"/>
        <v>0.31904535611831053</v>
      </c>
      <c r="AB8" s="60">
        <f t="shared" si="13"/>
        <v>0.91146607891863307</v>
      </c>
      <c r="AC8" s="91">
        <f t="shared" si="14"/>
        <v>58284.346786819995</v>
      </c>
      <c r="AD8" s="91">
        <f>VLOOKUP($B8,REPORTE!$A$3:$AS$200,11,FALSE)/1000000</f>
        <v>14967.48001084</v>
      </c>
      <c r="AE8" s="94">
        <f t="shared" si="3"/>
        <v>0.17486985069707672</v>
      </c>
      <c r="AF8" s="127">
        <f t="shared" si="4"/>
        <v>1.0793434051965467</v>
      </c>
    </row>
    <row r="9" spans="1:38" s="96" customFormat="1" ht="24.75" customHeight="1">
      <c r="A9" s="38" t="s">
        <v>8</v>
      </c>
      <c r="B9" s="34" t="s">
        <v>251</v>
      </c>
      <c r="C9" s="91">
        <f>(VLOOKUP(B9,REPORTE!$A$3:$AS$200,3,FALSE)-VLOOKUP("IDEAM_Cred",REPORTE!$B$3:$AS$200,2,FALSE))/1000000</f>
        <v>90559.823413999999</v>
      </c>
      <c r="D9" s="91">
        <f>(VLOOKUP(B9,REPORTE!$A$3:$AS$200,4,FALSE)-VLOOKUP("IDEAM_Cred",REPORTE!$B$3:$AS$200,3,FALSE))/1000000</f>
        <v>0</v>
      </c>
      <c r="E9" s="91">
        <f>(VLOOKUP(B9,REPORTE!$A$3:$AS$200,5,FALSE)--VLOOKUP("IDEAM_Cred",REPORTE!$B$3:$AS$200,4,FALSE))/1000000</f>
        <v>0</v>
      </c>
      <c r="F9" s="91">
        <f>(VLOOKUP(B9,REPORTE!$A$3:$AS$200,6,FALSE)-VLOOKUP("IDEAM_Cred",REPORTE!$B$3:$AS$200,5,FALSE))/1000000</f>
        <v>90559.823413999999</v>
      </c>
      <c r="G9" s="91">
        <f>(VLOOKUP(B9,REPORTE!$A$3:$AS$200,7,FALSE)-VLOOKUP("IDEAM_Cred",REPORTE!$B$3:$AS$200,6,FALSE))/1000000</f>
        <v>0</v>
      </c>
      <c r="H9" s="91">
        <f t="shared" si="5"/>
        <v>90559.823413999999</v>
      </c>
      <c r="I9" s="91">
        <f t="shared" si="6"/>
        <v>31699.140296487334</v>
      </c>
      <c r="J9" s="94">
        <f t="shared" si="15"/>
        <v>0.3500353589645675</v>
      </c>
      <c r="K9" s="91">
        <f>(VLOOKUP($B9,REPORTE!$A$3:$AS$200,9,FALSE)-VLOOKUP("IDEAM_Cred",REPORTE!$B$3:$AS$200,8,FALSE))/1000000</f>
        <v>21905.82739653</v>
      </c>
      <c r="L9" s="94">
        <f t="shared" si="0"/>
        <v>0.24189344204422877</v>
      </c>
      <c r="M9" s="60">
        <f t="shared" si="16"/>
        <v>0.69105430594145933</v>
      </c>
      <c r="N9" s="91">
        <f t="shared" si="7"/>
        <v>68653.996017469995</v>
      </c>
      <c r="O9" s="91">
        <f t="shared" si="8"/>
        <v>14672.052215556057</v>
      </c>
      <c r="P9" s="94">
        <f t="shared" si="17"/>
        <v>0.1620150267793902</v>
      </c>
      <c r="Q9" s="91">
        <f>(VLOOKUP($B9,REPORTE!$A$3:$AS$200,11,FALSE)-VLOOKUP("IDEAM_Cred",REPORTE!$B$3:$AS$200,10,FALSE))/1000000</f>
        <v>9128.9792938600003</v>
      </c>
      <c r="R9" s="94">
        <f t="shared" si="9"/>
        <v>0.1008060633259662</v>
      </c>
      <c r="S9" s="60">
        <f t="shared" si="1"/>
        <v>0.62220193601689822</v>
      </c>
      <c r="T9" s="91">
        <f t="shared" si="10"/>
        <v>14036.77262917</v>
      </c>
      <c r="U9" s="97">
        <f t="shared" si="18"/>
        <v>0.155</v>
      </c>
      <c r="V9" s="91">
        <f>VLOOKUP($B9,REPORTE!$A$3:$AS$200,12,FALSE)/1000000</f>
        <v>9128.9792938600003</v>
      </c>
      <c r="W9" s="94">
        <f t="shared" si="2"/>
        <v>0.1008060633259662</v>
      </c>
      <c r="X9" s="127">
        <f t="shared" si="11"/>
        <v>0.6503616988772013</v>
      </c>
      <c r="Z9" s="91">
        <f>(VLOOKUP($B9,REPORTE!$A$3:$AS$200,9,FALSE)-VLOOKUP("IDEAM_Cred",REPORTE!$B$3:$AS$200,8,FALSE))/1000000</f>
        <v>21905.82739653</v>
      </c>
      <c r="AA9" s="94">
        <f t="shared" si="12"/>
        <v>0.24189344204422877</v>
      </c>
      <c r="AB9" s="60">
        <f t="shared" si="13"/>
        <v>0.69105430594145933</v>
      </c>
      <c r="AC9" s="91">
        <f t="shared" si="14"/>
        <v>68653.996017469995</v>
      </c>
      <c r="AD9" s="91">
        <f>(VLOOKUP($B9,REPORTE!$A$3:$AS$200,11,FALSE)-VLOOKUP("IDEAM_Cred",REPORTE!$B$3:$AS$200,10,FALSE))/1000000</f>
        <v>9128.9792938600003</v>
      </c>
      <c r="AE9" s="94">
        <f t="shared" si="3"/>
        <v>0.1008060633259662</v>
      </c>
      <c r="AF9" s="127">
        <f t="shared" si="4"/>
        <v>0.62220193601689822</v>
      </c>
    </row>
    <row r="10" spans="1:38" s="96" customFormat="1" ht="24.75" customHeight="1">
      <c r="A10" s="38" t="s">
        <v>9</v>
      </c>
      <c r="B10" s="34" t="s">
        <v>250</v>
      </c>
      <c r="C10" s="91">
        <f>VLOOKUP(B10,REPORTE!$A$3:$AS$200,3,FALSE)/1000000</f>
        <v>614717.62945100002</v>
      </c>
      <c r="D10" s="91">
        <f>VLOOKUP(B10,REPORTE!$A$3:$AS$200,4,FALSE)/1000000</f>
        <v>0</v>
      </c>
      <c r="E10" s="91">
        <f>VLOOKUP(B10,REPORTE!$A$3:$AS$200,5,FALSE)/1000000</f>
        <v>0</v>
      </c>
      <c r="F10" s="91">
        <f>VLOOKUP(B10,REPORTE!$A$3:$AS$200,6,FALSE)/1000000</f>
        <v>614717.62945100002</v>
      </c>
      <c r="G10" s="91">
        <f>(VLOOKUP(B10,REPORTE!$A$3:$AS$200,7,FALSE)/1000000)</f>
        <v>369679.86293800001</v>
      </c>
      <c r="H10" s="91">
        <f t="shared" si="5"/>
        <v>245037.76651300001</v>
      </c>
      <c r="I10" s="91">
        <f t="shared" si="6"/>
        <v>85771.882561253835</v>
      </c>
      <c r="J10" s="94">
        <f t="shared" si="15"/>
        <v>0.3500353589645675</v>
      </c>
      <c r="K10" s="91">
        <f>VLOOKUP($B10,REPORTE!$A$3:$AS$200,9,FALSE)/1000000</f>
        <v>160777.85572406001</v>
      </c>
      <c r="L10" s="94">
        <f t="shared" si="0"/>
        <v>0.65613500323645113</v>
      </c>
      <c r="M10" s="60">
        <f t="shared" si="16"/>
        <v>1.8744820671184499</v>
      </c>
      <c r="N10" s="91">
        <f t="shared" si="7"/>
        <v>84259.910788940004</v>
      </c>
      <c r="O10" s="91">
        <f t="shared" si="8"/>
        <v>39699.800303565658</v>
      </c>
      <c r="P10" s="94">
        <f t="shared" si="17"/>
        <v>0.1620150267793902</v>
      </c>
      <c r="Q10" s="91">
        <f>VLOOKUP($B10,REPORTE!$A$3:$AS$200,11,FALSE)/1000000</f>
        <v>91477.709349140001</v>
      </c>
      <c r="R10" s="94">
        <f t="shared" si="9"/>
        <v>0.37332085845749341</v>
      </c>
      <c r="S10" s="60">
        <f t="shared" si="1"/>
        <v>2.3042360074774448</v>
      </c>
      <c r="T10" s="91">
        <f t="shared" si="10"/>
        <v>37980.853809515</v>
      </c>
      <c r="U10" s="97">
        <f t="shared" si="18"/>
        <v>0.155</v>
      </c>
      <c r="V10" s="91">
        <f>VLOOKUP($B10,REPORTE!$A$3:$AS$200,12,FALSE)/1000000</f>
        <v>91442.521817140005</v>
      </c>
      <c r="W10" s="94">
        <f t="shared" si="2"/>
        <v>0.37317725801377111</v>
      </c>
      <c r="X10" s="127">
        <f t="shared" si="11"/>
        <v>2.4075952129920717</v>
      </c>
      <c r="Z10" s="91">
        <f>VLOOKUP($B10,REPORTE!$A$3:$AS$200,9,FALSE)/1000000</f>
        <v>160777.85572406001</v>
      </c>
      <c r="AA10" s="94">
        <f t="shared" si="12"/>
        <v>0.26154749436363095</v>
      </c>
      <c r="AB10" s="60">
        <f t="shared" si="13"/>
        <v>0.74720306867657393</v>
      </c>
      <c r="AC10" s="91">
        <f t="shared" si="14"/>
        <v>453939.77372694004</v>
      </c>
      <c r="AD10" s="91">
        <f>VLOOKUP($B10,REPORTE!$A$3:$AS$200,11,FALSE)/1000000</f>
        <v>91477.709349140001</v>
      </c>
      <c r="AE10" s="94">
        <f t="shared" si="3"/>
        <v>0.14881256851351099</v>
      </c>
      <c r="AF10" s="127">
        <f t="shared" si="4"/>
        <v>0.91851090279510617</v>
      </c>
    </row>
    <row r="11" spans="1:38" s="96" customFormat="1" ht="24.75" customHeight="1">
      <c r="A11" s="38" t="s">
        <v>256</v>
      </c>
      <c r="B11" s="34" t="s">
        <v>249</v>
      </c>
      <c r="C11" s="91">
        <f>VLOOKUP(B11,REPORTE!$A$3:$AS$200,3,FALSE)/1000000</f>
        <v>130405.72653299999</v>
      </c>
      <c r="D11" s="91">
        <f>VLOOKUP(B11,REPORTE!$A$3:$AS$200,4,FALSE)/1000000</f>
        <v>0</v>
      </c>
      <c r="E11" s="91">
        <f>VLOOKUP(B11,REPORTE!$A$3:$AS$200,5,FALSE)/1000000</f>
        <v>0</v>
      </c>
      <c r="F11" s="91">
        <f>VLOOKUP(B11,REPORTE!$A$3:$AS$200,6,FALSE)/1000000</f>
        <v>130405.72653299999</v>
      </c>
      <c r="G11" s="91">
        <f>VLOOKUP(B11,REPORTE!$A$3:$AS$200,7,FALSE)/1000000</f>
        <v>0</v>
      </c>
      <c r="H11" s="91">
        <f>F11-G11</f>
        <v>130405.72653299999</v>
      </c>
      <c r="I11" s="91">
        <f t="shared" si="6"/>
        <v>45646.61529801388</v>
      </c>
      <c r="J11" s="94">
        <f t="shared" si="15"/>
        <v>0.3500353589645675</v>
      </c>
      <c r="K11" s="91">
        <f>VLOOKUP($B11,REPORTE!$A$3:$AS$200,9,FALSE)/1000000</f>
        <v>40274.514360949994</v>
      </c>
      <c r="L11" s="94">
        <f t="shared" si="0"/>
        <v>0.30884007498519073</v>
      </c>
      <c r="M11" s="60">
        <f t="shared" si="16"/>
        <v>0.88231107822582355</v>
      </c>
      <c r="N11" s="91">
        <f t="shared" si="7"/>
        <v>90131.21217205</v>
      </c>
      <c r="O11" s="91">
        <f t="shared" si="8"/>
        <v>21127.687276429828</v>
      </c>
      <c r="P11" s="94">
        <f t="shared" si="17"/>
        <v>0.1620150267793902</v>
      </c>
      <c r="Q11" s="91">
        <f>VLOOKUP($B11,REPORTE!$A$3:$AS$200,11,FALSE)/1000000</f>
        <v>22491.774653749999</v>
      </c>
      <c r="R11" s="94">
        <f t="shared" si="9"/>
        <v>0.17247536018334528</v>
      </c>
      <c r="S11" s="60">
        <f t="shared" si="1"/>
        <v>1.0645639704655205</v>
      </c>
      <c r="T11" s="91">
        <f t="shared" si="10"/>
        <v>20212.887612614999</v>
      </c>
      <c r="U11" s="97">
        <f t="shared" si="18"/>
        <v>0.155</v>
      </c>
      <c r="V11" s="91">
        <f>VLOOKUP($B11,REPORTE!$A$3:$AS$200,12,FALSE)/1000000</f>
        <v>21599.480809749999</v>
      </c>
      <c r="W11" s="94">
        <f t="shared" si="2"/>
        <v>0.16563291646769909</v>
      </c>
      <c r="X11" s="127">
        <f t="shared" si="11"/>
        <v>1.0685994610819296</v>
      </c>
      <c r="Z11" s="91">
        <f>VLOOKUP($B11,REPORTE!$A$3:$AS$200,9,FALSE)/1000000</f>
        <v>40274.514360949994</v>
      </c>
      <c r="AA11" s="94">
        <f t="shared" si="12"/>
        <v>0.30884007498519073</v>
      </c>
      <c r="AB11" s="60">
        <f t="shared" si="13"/>
        <v>0.88231107822582355</v>
      </c>
      <c r="AC11" s="91">
        <f t="shared" si="14"/>
        <v>90131.21217205</v>
      </c>
      <c r="AD11" s="91">
        <f>VLOOKUP($B11,REPORTE!$A$3:$AS$200,11,FALSE)/1000000</f>
        <v>22491.774653749999</v>
      </c>
      <c r="AE11" s="94">
        <f t="shared" si="3"/>
        <v>0.17247536018334528</v>
      </c>
      <c r="AF11" s="127">
        <f t="shared" si="4"/>
        <v>1.0645639704655205</v>
      </c>
      <c r="AL11" s="237"/>
    </row>
    <row r="12" spans="1:38">
      <c r="A12" s="258" t="s">
        <v>245</v>
      </c>
      <c r="B12" s="259"/>
      <c r="C12" s="260">
        <f>SUM(C6:C11)</f>
        <v>1407601.587028</v>
      </c>
      <c r="D12" s="260">
        <f t="shared" ref="D12:E12" si="19">SUM(D6:D11)</f>
        <v>0</v>
      </c>
      <c r="E12" s="260">
        <f t="shared" si="19"/>
        <v>0</v>
      </c>
      <c r="F12" s="260">
        <f>SUM(F6:F11)</f>
        <v>1407601.587028</v>
      </c>
      <c r="G12" s="260">
        <f t="shared" ref="G12" si="20">SUM(G6:G11)</f>
        <v>409652.66117500002</v>
      </c>
      <c r="H12" s="260">
        <f t="shared" ref="H12" si="21">SUM(H6:H11)</f>
        <v>997948.92585299991</v>
      </c>
      <c r="I12" s="260">
        <f>SUM(I6:I11)</f>
        <v>349317.41048925946</v>
      </c>
      <c r="J12" s="261">
        <f t="shared" ref="J12" si="22">$J$6</f>
        <v>0.3500353589645675</v>
      </c>
      <c r="K12" s="260">
        <f>SUM(K6:K11)</f>
        <v>442742.15708216996</v>
      </c>
      <c r="L12" s="261">
        <f>K12/$H12</f>
        <v>0.44365212047674157</v>
      </c>
      <c r="M12" s="262">
        <f t="shared" si="16"/>
        <v>1.2674494422194944</v>
      </c>
      <c r="N12" s="260">
        <f t="shared" ref="N12" si="23">SUM(N6:N11)</f>
        <v>555206.76877083012</v>
      </c>
      <c r="O12" s="260">
        <f>SUM(O6:O11)</f>
        <v>161682.72194653747</v>
      </c>
      <c r="P12" s="261">
        <f>$P$6</f>
        <v>0.1620150267793902</v>
      </c>
      <c r="Q12" s="260">
        <f>SUM(Q6:Q11)</f>
        <v>185306.94689290001</v>
      </c>
      <c r="R12" s="261">
        <f t="shared" ref="R12" si="24">Q12/$H12</f>
        <v>0.18568780635192161</v>
      </c>
      <c r="S12" s="262">
        <f t="shared" si="1"/>
        <v>1.1461147156724281</v>
      </c>
      <c r="T12" s="260">
        <f>SUM(T6:T11)</f>
        <v>154682.08350721502</v>
      </c>
      <c r="U12" s="263">
        <f t="shared" si="18"/>
        <v>0.155</v>
      </c>
      <c r="V12" s="260">
        <f>SUM(V6:V11)</f>
        <v>183213.21386865</v>
      </c>
      <c r="W12" s="261">
        <f t="shared" ref="W12" si="25">V12/$H12</f>
        <v>0.1835897700997553</v>
      </c>
      <c r="X12" s="264">
        <f t="shared" si="11"/>
        <v>1.1844501296758407</v>
      </c>
      <c r="Z12" s="260">
        <f>SUM(Z6:Z11)</f>
        <v>442742.15708216996</v>
      </c>
      <c r="AA12" s="261">
        <f>Z12/$F12</f>
        <v>0.31453655719227525</v>
      </c>
      <c r="AB12" s="262">
        <f t="shared" si="13"/>
        <v>0.89858509758185423</v>
      </c>
      <c r="AC12" s="260">
        <f>SUM(AC6:AC11)</f>
        <v>964859.42994583002</v>
      </c>
      <c r="AD12" s="260">
        <f>SUM(AD6:AD11)</f>
        <v>185306.94689290001</v>
      </c>
      <c r="AE12" s="261">
        <f>AD12/$F12</f>
        <v>0.13164729892366475</v>
      </c>
      <c r="AF12" s="264">
        <f t="shared" si="4"/>
        <v>0.8125622761086474</v>
      </c>
      <c r="AH12" s="24"/>
      <c r="AJ12" s="24"/>
      <c r="AL12" s="238"/>
    </row>
    <row r="13" spans="1:38" ht="10.5" customHeight="1">
      <c r="A13" s="23"/>
      <c r="B13" s="20"/>
      <c r="C13" s="161"/>
      <c r="D13" s="161"/>
      <c r="E13" s="20"/>
      <c r="F13" s="20"/>
      <c r="G13" s="20"/>
      <c r="H13" s="20"/>
      <c r="I13" s="20"/>
      <c r="J13" s="63"/>
      <c r="K13" s="161"/>
      <c r="L13" s="90"/>
      <c r="M13" s="58"/>
      <c r="N13" s="20"/>
      <c r="O13" s="20"/>
      <c r="P13" s="63"/>
      <c r="Q13" s="20"/>
      <c r="R13" s="20"/>
      <c r="S13" s="58"/>
      <c r="T13" s="334"/>
      <c r="U13" s="334"/>
      <c r="V13" s="336"/>
      <c r="W13" s="334"/>
      <c r="X13" s="337"/>
      <c r="Z13" s="20"/>
      <c r="AA13" s="20"/>
      <c r="AB13" s="58"/>
      <c r="AC13" s="58"/>
      <c r="AD13" s="20"/>
      <c r="AE13" s="20"/>
      <c r="AF13" s="128"/>
    </row>
    <row r="14" spans="1:38" ht="26.25" customHeight="1">
      <c r="A14" s="292" t="s">
        <v>226</v>
      </c>
      <c r="B14" s="293"/>
      <c r="C14" s="293"/>
      <c r="D14" s="293"/>
      <c r="E14" s="293"/>
      <c r="F14" s="293"/>
      <c r="G14" s="293"/>
      <c r="H14" s="293"/>
      <c r="I14" s="294" t="s">
        <v>2</v>
      </c>
      <c r="J14" s="295"/>
      <c r="K14" s="295"/>
      <c r="L14" s="295"/>
      <c r="M14" s="295"/>
      <c r="N14" s="296" t="s">
        <v>367</v>
      </c>
      <c r="O14" s="298" t="s">
        <v>3</v>
      </c>
      <c r="P14" s="299"/>
      <c r="Q14" s="299"/>
      <c r="R14" s="299"/>
      <c r="S14" s="300"/>
      <c r="T14" s="301" t="s">
        <v>113</v>
      </c>
      <c r="U14" s="301"/>
      <c r="V14" s="301"/>
      <c r="W14" s="301"/>
      <c r="X14" s="302"/>
      <c r="Z14" s="299" t="s">
        <v>2</v>
      </c>
      <c r="AA14" s="299"/>
      <c r="AB14" s="300"/>
      <c r="AC14" s="296" t="s">
        <v>367</v>
      </c>
      <c r="AD14" s="299" t="s">
        <v>3</v>
      </c>
      <c r="AE14" s="299"/>
      <c r="AF14" s="308"/>
      <c r="AJ14" s="24"/>
    </row>
    <row r="15" spans="1:38" ht="33" customHeight="1">
      <c r="A15" s="256" t="s">
        <v>0</v>
      </c>
      <c r="B15" s="257" t="s">
        <v>243</v>
      </c>
      <c r="C15" s="255" t="s">
        <v>361</v>
      </c>
      <c r="D15" s="257" t="s">
        <v>355</v>
      </c>
      <c r="E15" s="257" t="s">
        <v>356</v>
      </c>
      <c r="F15" s="255" t="s">
        <v>1</v>
      </c>
      <c r="G15" s="255" t="s">
        <v>362</v>
      </c>
      <c r="H15" s="255" t="s">
        <v>358</v>
      </c>
      <c r="I15" s="255" t="s">
        <v>257</v>
      </c>
      <c r="J15" s="266" t="s">
        <v>4</v>
      </c>
      <c r="K15" s="255" t="s">
        <v>5</v>
      </c>
      <c r="L15" s="303" t="s">
        <v>4</v>
      </c>
      <c r="M15" s="304"/>
      <c r="N15" s="297"/>
      <c r="O15" s="255" t="str">
        <f>I15</f>
        <v>Meta</v>
      </c>
      <c r="P15" s="266" t="s">
        <v>4</v>
      </c>
      <c r="Q15" s="255" t="s">
        <v>5</v>
      </c>
      <c r="R15" s="303" t="s">
        <v>4</v>
      </c>
      <c r="S15" s="304"/>
      <c r="T15" s="255" t="str">
        <f>O15</f>
        <v>Meta</v>
      </c>
      <c r="U15" s="255" t="s">
        <v>4</v>
      </c>
      <c r="V15" s="255" t="s">
        <v>5</v>
      </c>
      <c r="W15" s="303" t="s">
        <v>4</v>
      </c>
      <c r="X15" s="305"/>
      <c r="Z15" s="255" t="s">
        <v>5</v>
      </c>
      <c r="AA15" s="303" t="s">
        <v>4</v>
      </c>
      <c r="AB15" s="304"/>
      <c r="AC15" s="297"/>
      <c r="AD15" s="255" t="s">
        <v>5</v>
      </c>
      <c r="AE15" s="303" t="s">
        <v>4</v>
      </c>
      <c r="AF15" s="309"/>
      <c r="AJ15" s="24"/>
    </row>
    <row r="16" spans="1:38" s="41" customFormat="1" ht="24.75" customHeight="1">
      <c r="A16" s="38" t="s">
        <v>6</v>
      </c>
      <c r="B16" s="34" t="s">
        <v>252</v>
      </c>
      <c r="C16" s="35">
        <f>VLOOKUP(B16,REPORTE!$A$3:$AV$200,15,FALSE)/1000000</f>
        <v>223233.909881</v>
      </c>
      <c r="D16" s="35">
        <f>VLOOKUP(B16,REPORTE!$A$3:$AV$200,16,FALSE)/1000000</f>
        <v>0</v>
      </c>
      <c r="E16" s="35">
        <f>VLOOKUP(B16,REPORTE!$A$3:$AV$200,17,FALSE)/1000000</f>
        <v>0</v>
      </c>
      <c r="F16" s="35">
        <f>VLOOKUP(B16,REPORTE!$A$3:$AV$200,18,FALSE)/1000000</f>
        <v>223233.909881</v>
      </c>
      <c r="G16" s="35">
        <f>(VLOOKUP(B16,REPORTE!$A$3:$AV$200,19,FALSE)/1000000)</f>
        <v>35321.698236999997</v>
      </c>
      <c r="H16" s="35">
        <f>F16-G16</f>
        <v>187912.211644</v>
      </c>
      <c r="I16" s="35">
        <f t="shared" ref="I16:I22" si="26">J16*$H16</f>
        <v>65775.918456633313</v>
      </c>
      <c r="J16" s="36">
        <f t="shared" ref="J16:J22" si="27">$J$6</f>
        <v>0.3500353589645675</v>
      </c>
      <c r="K16" s="35">
        <f>VLOOKUP($B16,REPORTE!$A$3:$AV$200,21,FALSE)/1000000</f>
        <v>88352.100395829999</v>
      </c>
      <c r="L16" s="36">
        <f t="shared" ref="L16:L21" si="28">IF(H16=0,"",IF(H16="","",K16/$H16))</f>
        <v>0.47017753462033218</v>
      </c>
      <c r="M16" s="60">
        <f t="shared" ref="M16:M22" si="29">L16/J16</f>
        <v>1.3432286841282401</v>
      </c>
      <c r="N16" s="35">
        <f>H16-K16</f>
        <v>99560.111248169997</v>
      </c>
      <c r="O16" s="35">
        <f t="shared" ref="O16:O21" si="30">P16*$H16</f>
        <v>30444.602001677096</v>
      </c>
      <c r="P16" s="36">
        <f t="shared" ref="P16:P22" si="31">$P$6</f>
        <v>0.1620150267793902</v>
      </c>
      <c r="Q16" s="35">
        <f>VLOOKUP($B16,REPORTE!$A$3:$AV$200,23,FALSE)/1000000</f>
        <v>14192.879591030001</v>
      </c>
      <c r="R16" s="36">
        <f t="shared" ref="R16:R21" si="32">IF(H16=0,"",IF(H16="","",Q16/$H16))</f>
        <v>7.5529309494363442E-2</v>
      </c>
      <c r="S16" s="60">
        <f t="shared" ref="S16:S22" si="33">R16/P16</f>
        <v>0.46618706298897122</v>
      </c>
      <c r="T16" s="39">
        <f t="shared" ref="T16:T21" si="34">U16*$H16</f>
        <v>29126.39280482</v>
      </c>
      <c r="U16" s="40">
        <f t="shared" ref="U16:U22" si="35">$U$6</f>
        <v>0.155</v>
      </c>
      <c r="V16" s="35">
        <f>VLOOKUP($B16,REPORTE!$A$3:$AV$200,24,FALSE)/1000000</f>
        <v>14192.879591030001</v>
      </c>
      <c r="W16" s="36">
        <f t="shared" ref="W16:W21" si="36">IF(H16=0,"",IF(H16="","",V16/$H16))</f>
        <v>7.5529309494363442E-2</v>
      </c>
      <c r="X16" s="127">
        <f t="shared" ref="X16:X22" si="37">W16/U16</f>
        <v>0.48728586770557059</v>
      </c>
      <c r="Z16" s="35">
        <f>VLOOKUP($B16,REPORTE!$A$3:$AV$200,21,FALSE)/1000000</f>
        <v>88352.100395829999</v>
      </c>
      <c r="AA16" s="36">
        <f t="shared" ref="AA16:AA21" si="38">IF(F16=0,"",IF(F16="","",Z16/$F16))</f>
        <v>0.39578261404339571</v>
      </c>
      <c r="AB16" s="60">
        <f>AA16/$J16</f>
        <v>1.1306932397177023</v>
      </c>
      <c r="AC16" s="35">
        <f>F16-Z16</f>
        <v>134881.80948517</v>
      </c>
      <c r="AD16" s="35">
        <f>VLOOKUP($B16,REPORTE!$A$3:$AV$200,23,FALSE)/1000000</f>
        <v>14192.879591030001</v>
      </c>
      <c r="AE16" s="36">
        <f t="shared" ref="AE16:AE21" si="39">IF(F16=0,"",IF(F16="","",AD16/$F16))</f>
        <v>6.3578510982475037E-2</v>
      </c>
      <c r="AF16" s="127">
        <f t="shared" ref="AF16:AF22" si="40">AE16/P16</f>
        <v>0.39242354395341067</v>
      </c>
      <c r="AJ16" s="42"/>
      <c r="AL16" s="42"/>
    </row>
    <row r="17" spans="1:38" s="41" customFormat="1" ht="24.75" customHeight="1">
      <c r="A17" s="38" t="s">
        <v>237</v>
      </c>
      <c r="B17" s="34" t="s">
        <v>253</v>
      </c>
      <c r="C17" s="35">
        <f>(VLOOKUP(B17,REPORTE!$A$3:$AV$200,15,FALSE))/1000000</f>
        <v>90010.744263999994</v>
      </c>
      <c r="D17" s="35">
        <f>(VLOOKUP(B17,REPORTE!$A$3:$AV$200,16,FALSE))/1000000</f>
        <v>0</v>
      </c>
      <c r="E17" s="35">
        <f>(VLOOKUP(B17,REPORTE!$A$3:$AV$200,17,FALSE))/1000000</f>
        <v>0</v>
      </c>
      <c r="F17" s="35">
        <f>(VLOOKUP(B17,REPORTE!$A$3:$AV$200,18,FALSE))/1000000</f>
        <v>90010.744263999994</v>
      </c>
      <c r="G17" s="35">
        <f>(VLOOKUP(B17,REPORTE!$A$3:$AV$200,19,FALSE))/1000000</f>
        <v>0</v>
      </c>
      <c r="H17" s="35">
        <f t="shared" ref="H17:H21" si="41">F17-G17</f>
        <v>90010.744263999994</v>
      </c>
      <c r="I17" s="35">
        <f t="shared" si="26"/>
        <v>31506.943179117123</v>
      </c>
      <c r="J17" s="36">
        <f t="shared" si="27"/>
        <v>0.3500353589645675</v>
      </c>
      <c r="K17" s="35">
        <f>(VLOOKUP($B17,REPORTE!$A$3:$AV$200,21,FALSE))/1000000</f>
        <v>38598.884645949998</v>
      </c>
      <c r="L17" s="36">
        <f t="shared" si="28"/>
        <v>0.42882530259654472</v>
      </c>
      <c r="M17" s="60">
        <f t="shared" si="29"/>
        <v>1.2250913846676637</v>
      </c>
      <c r="N17" s="35">
        <f t="shared" ref="N17:N21" si="42">H17-K17</f>
        <v>51411.859618049995</v>
      </c>
      <c r="O17" s="35">
        <f t="shared" si="30"/>
        <v>14583.093142364802</v>
      </c>
      <c r="P17" s="36">
        <f t="shared" si="31"/>
        <v>0.1620150267793902</v>
      </c>
      <c r="Q17" s="35">
        <f>VLOOKUP($B17,REPORTE!$A$3:$AV$200,23,FALSE)/1000000</f>
        <v>1654.243318</v>
      </c>
      <c r="R17" s="36">
        <f t="shared" si="32"/>
        <v>1.8378287298104461E-2</v>
      </c>
      <c r="S17" s="60">
        <f t="shared" si="33"/>
        <v>0.11343569583289016</v>
      </c>
      <c r="T17" s="35">
        <f t="shared" si="34"/>
        <v>13951.665360919998</v>
      </c>
      <c r="U17" s="40">
        <f t="shared" si="35"/>
        <v>0.155</v>
      </c>
      <c r="V17" s="35">
        <f>VLOOKUP($B17,REPORTE!$A$3:$AV$200,24,FALSE)/1000000</f>
        <v>1654.243318</v>
      </c>
      <c r="W17" s="36">
        <f t="shared" si="36"/>
        <v>1.8378287298104461E-2</v>
      </c>
      <c r="X17" s="127">
        <f t="shared" si="37"/>
        <v>0.11856959547164168</v>
      </c>
      <c r="Z17" s="35">
        <f>(VLOOKUP($B17,REPORTE!$A$3:$AV$200,21,FALSE))/1000000</f>
        <v>38598.884645949998</v>
      </c>
      <c r="AA17" s="36">
        <f t="shared" si="38"/>
        <v>0.42882530259654472</v>
      </c>
      <c r="AB17" s="60">
        <f t="shared" ref="AB17:AB22" si="43">AA17/$J17</f>
        <v>1.2250913846676637</v>
      </c>
      <c r="AC17" s="35">
        <f t="shared" ref="AC17:AC21" si="44">F17-Z17</f>
        <v>51411.859618049995</v>
      </c>
      <c r="AD17" s="35">
        <f>(VLOOKUP($B17,REPORTE!$A$3:$AV$200,23,FALSE))/1000000</f>
        <v>1654.243318</v>
      </c>
      <c r="AE17" s="36">
        <f t="shared" si="39"/>
        <v>1.8378287298104461E-2</v>
      </c>
      <c r="AF17" s="127">
        <f t="shared" si="40"/>
        <v>0.11343569583289016</v>
      </c>
    </row>
    <row r="18" spans="1:38" s="41" customFormat="1" ht="24.75" customHeight="1">
      <c r="A18" s="38" t="s">
        <v>7</v>
      </c>
      <c r="B18" s="34" t="s">
        <v>248</v>
      </c>
      <c r="C18" s="35">
        <f>VLOOKUP(B18,REPORTE!$A$3:$AV$200,15,FALSE)/1000000</f>
        <v>3653.134329</v>
      </c>
      <c r="D18" s="35">
        <f>VLOOKUP(B18,REPORTE!$A$3:$AV$200,16,FALSE)/1000000</f>
        <v>0</v>
      </c>
      <c r="E18" s="35">
        <f>VLOOKUP(B18,REPORTE!$A$3:$AV$200,17,FALSE)/1000000</f>
        <v>0</v>
      </c>
      <c r="F18" s="35">
        <f>VLOOKUP(B18,REPORTE!$A$3:$AV$200,18,FALSE)/1000000</f>
        <v>3653.134329</v>
      </c>
      <c r="G18" s="35">
        <f>VLOOKUP(B18,REPORTE!$A$3:$AV$200,19,FALSE)/1000000</f>
        <v>0</v>
      </c>
      <c r="H18" s="35">
        <f t="shared" si="41"/>
        <v>3653.134329</v>
      </c>
      <c r="I18" s="35">
        <f t="shared" si="26"/>
        <v>1278.7261861972995</v>
      </c>
      <c r="J18" s="36">
        <f t="shared" si="27"/>
        <v>0.3500353589645675</v>
      </c>
      <c r="K18" s="35">
        <f>VLOOKUP($B18,REPORTE!$A$3:$AV$200,21,FALSE)/1000000</f>
        <v>3190.0308260000002</v>
      </c>
      <c r="L18" s="36">
        <f t="shared" si="28"/>
        <v>0.87323118689512613</v>
      </c>
      <c r="M18" s="60">
        <f t="shared" si="29"/>
        <v>2.4946942202588152</v>
      </c>
      <c r="N18" s="35">
        <f t="shared" si="42"/>
        <v>463.10350299999982</v>
      </c>
      <c r="O18" s="35">
        <f t="shared" si="30"/>
        <v>591.86265614164461</v>
      </c>
      <c r="P18" s="36">
        <f t="shared" si="31"/>
        <v>0.1620150267793902</v>
      </c>
      <c r="Q18" s="35">
        <f>VLOOKUP($B18,REPORTE!$A$3:$AV$200,23,FALSE)/1000000</f>
        <v>545.21387500000003</v>
      </c>
      <c r="R18" s="36">
        <f t="shared" si="32"/>
        <v>0.14924550424326868</v>
      </c>
      <c r="S18" s="60">
        <f t="shared" si="33"/>
        <v>0.92118309770420681</v>
      </c>
      <c r="T18" s="35">
        <f t="shared" si="34"/>
        <v>566.23582099500004</v>
      </c>
      <c r="U18" s="40">
        <f t="shared" si="35"/>
        <v>0.155</v>
      </c>
      <c r="V18" s="35">
        <f>VLOOKUP($B18,REPORTE!$A$3:$AV$200,24,FALSE)/1000000</f>
        <v>545.21387500000003</v>
      </c>
      <c r="W18" s="36">
        <f t="shared" si="36"/>
        <v>0.14924550424326868</v>
      </c>
      <c r="X18" s="127">
        <f t="shared" si="37"/>
        <v>0.96287422092431407</v>
      </c>
      <c r="Z18" s="35">
        <f>VLOOKUP($B18,REPORTE!$A$3:$AV$200,21,FALSE)/1000000</f>
        <v>3190.0308260000002</v>
      </c>
      <c r="AA18" s="36">
        <f t="shared" si="38"/>
        <v>0.87323118689512613</v>
      </c>
      <c r="AB18" s="60">
        <f t="shared" si="43"/>
        <v>2.4946942202588152</v>
      </c>
      <c r="AC18" s="35">
        <f t="shared" si="44"/>
        <v>463.10350299999982</v>
      </c>
      <c r="AD18" s="35">
        <f>VLOOKUP($B18,REPORTE!$A$3:$AV$200,23,FALSE)/1000000</f>
        <v>545.21387500000003</v>
      </c>
      <c r="AE18" s="36">
        <f t="shared" si="39"/>
        <v>0.14924550424326868</v>
      </c>
      <c r="AF18" s="127">
        <f t="shared" si="40"/>
        <v>0.92118309770420681</v>
      </c>
      <c r="AL18" s="42"/>
    </row>
    <row r="19" spans="1:38" s="41" customFormat="1" ht="24.75" customHeight="1">
      <c r="A19" s="38" t="s">
        <v>8</v>
      </c>
      <c r="B19" s="34" t="s">
        <v>251</v>
      </c>
      <c r="C19" s="35">
        <f>(VLOOKUP(B19,REPORTE!$A$3:$AV$200,15,FALSE)-VLOOKUP("IDEAM_Cred",REPORTE!$B$3:$AS$200,14,FALSE))/1000000</f>
        <v>35476.074634999997</v>
      </c>
      <c r="D19" s="35">
        <f>(VLOOKUP(B19,REPORTE!$A$3:$AV$200,16,FALSE)-VLOOKUP("IDEAM_Cred",REPORTE!$B$3:$AS$200,15,FALSE))/1000000</f>
        <v>0</v>
      </c>
      <c r="E19" s="35">
        <f>(VLOOKUP(B19,REPORTE!$A$3:$AV$200,17,FALSE)-VLOOKUP("IDEAM_Cred",REPORTE!$B$3:$AS$200,16,FALSE))/1000000</f>
        <v>0</v>
      </c>
      <c r="F19" s="35">
        <f>(VLOOKUP(B19,REPORTE!$A$3:$AV$200,18,FALSE)-VLOOKUP("IDEAM_Cred",REPORTE!$B$3:$AS$200,17,FALSE))/1000000</f>
        <v>35476.074634999997</v>
      </c>
      <c r="G19" s="35">
        <f>(VLOOKUP(B19,REPORTE!$A$3:$AV$200,19,FALSE)-VLOOKUP("IDEAM_Cred",REPORTE!$B$3:$AS$200,18,FALSE))/1000000</f>
        <v>0</v>
      </c>
      <c r="H19" s="35">
        <f t="shared" si="41"/>
        <v>35476.074634999997</v>
      </c>
      <c r="I19" s="35">
        <f t="shared" si="26"/>
        <v>12417.880519516011</v>
      </c>
      <c r="J19" s="36">
        <f t="shared" si="27"/>
        <v>0.3500353589645675</v>
      </c>
      <c r="K19" s="35">
        <f>(VLOOKUP($B19,REPORTE!$A$3:$AV$200,21,FALSE)-VLOOKUP("IDEAM_Cred",REPORTE!$B$3:$AS$200,20,FALSE))/1000000</f>
        <v>4982.3806919999997</v>
      </c>
      <c r="L19" s="36">
        <f t="shared" si="28"/>
        <v>0.14044340427349539</v>
      </c>
      <c r="M19" s="60">
        <f t="shared" si="29"/>
        <v>0.40122633521635692</v>
      </c>
      <c r="N19" s="35">
        <f t="shared" si="42"/>
        <v>30493.693942999998</v>
      </c>
      <c r="O19" s="35">
        <f t="shared" si="30"/>
        <v>5747.6571820171703</v>
      </c>
      <c r="P19" s="36">
        <f t="shared" si="31"/>
        <v>0.1620150267793902</v>
      </c>
      <c r="Q19" s="35">
        <f>VLOOKUP($B19,REPORTE!$A$3:$AV$200,23,FALSE)/1000000</f>
        <v>452.134274</v>
      </c>
      <c r="R19" s="36">
        <f t="shared" si="32"/>
        <v>1.2744766117780495E-2</v>
      </c>
      <c r="S19" s="60">
        <f t="shared" si="33"/>
        <v>7.8664099072332141E-2</v>
      </c>
      <c r="T19" s="35">
        <f t="shared" si="34"/>
        <v>5498.7915684249992</v>
      </c>
      <c r="U19" s="40">
        <f t="shared" si="35"/>
        <v>0.155</v>
      </c>
      <c r="V19" s="35">
        <f>VLOOKUP($B19,REPORTE!$A$3:$AV$200,24,FALSE)/1000000</f>
        <v>452.134274</v>
      </c>
      <c r="W19" s="36">
        <f t="shared" si="36"/>
        <v>1.2744766117780495E-2</v>
      </c>
      <c r="X19" s="127">
        <f t="shared" si="37"/>
        <v>8.2224297534067708E-2</v>
      </c>
      <c r="Z19" s="35">
        <f>(VLOOKUP($B19,REPORTE!$A$3:$AV$200,21,FALSE)-VLOOKUP("IDEAM_Cred",REPORTE!$B$3:$AS$200,20,FALSE))/1000000</f>
        <v>4982.3806919999997</v>
      </c>
      <c r="AA19" s="36">
        <f t="shared" si="38"/>
        <v>0.14044340427349539</v>
      </c>
      <c r="AB19" s="60">
        <f t="shared" si="43"/>
        <v>0.40122633521635692</v>
      </c>
      <c r="AC19" s="35">
        <f t="shared" si="44"/>
        <v>30493.693942999998</v>
      </c>
      <c r="AD19" s="35">
        <f>(VLOOKUP($B19,REPORTE!$A$3:$AV$200,23,FALSE)-VLOOKUP("IDEAM_Cred",REPORTE!$B$3:$AS$200,22,FALSE))/1000000</f>
        <v>452.134274</v>
      </c>
      <c r="AE19" s="36">
        <f t="shared" si="39"/>
        <v>1.2744766117780495E-2</v>
      </c>
      <c r="AF19" s="127">
        <f t="shared" si="40"/>
        <v>7.8664099072332141E-2</v>
      </c>
      <c r="AH19" s="42"/>
    </row>
    <row r="20" spans="1:38" s="41" customFormat="1" ht="24.75" customHeight="1">
      <c r="A20" s="38" t="s">
        <v>9</v>
      </c>
      <c r="B20" s="34" t="s">
        <v>250</v>
      </c>
      <c r="C20" s="35">
        <f>VLOOKUP(B20,REPORTE!$A$3:$AV$200,15,FALSE)/1000000</f>
        <v>532206.06445099995</v>
      </c>
      <c r="D20" s="35">
        <f>VLOOKUP(B20,REPORTE!$A$3:$AV$200,16,FALSE)/1000000</f>
        <v>0</v>
      </c>
      <c r="E20" s="35">
        <f>VLOOKUP(B20,REPORTE!$A$3:$AV$200,17,FALSE)/1000000</f>
        <v>0</v>
      </c>
      <c r="F20" s="35">
        <f>VLOOKUP(B20,REPORTE!$A$3:$AV$200,18,FALSE)/1000000</f>
        <v>532206.06445099995</v>
      </c>
      <c r="G20" s="35">
        <f>VLOOKUP(B20,REPORTE!$A$3:$AV$200,19,FALSE)/1000000</f>
        <v>369679.86293800001</v>
      </c>
      <c r="H20" s="35">
        <f t="shared" si="41"/>
        <v>162526.20151299995</v>
      </c>
      <c r="I20" s="35">
        <f t="shared" si="26"/>
        <v>56889.91728775057</v>
      </c>
      <c r="J20" s="36">
        <f t="shared" si="27"/>
        <v>0.3500353589645675</v>
      </c>
      <c r="K20" s="35">
        <f>VLOOKUP($B20,REPORTE!$A$3:$AV$200,21,FALSE)/1000000</f>
        <v>79677.281640059999</v>
      </c>
      <c r="L20" s="36">
        <f t="shared" si="28"/>
        <v>0.49024268639962565</v>
      </c>
      <c r="M20" s="60">
        <f t="shared" si="29"/>
        <v>1.4005518980991023</v>
      </c>
      <c r="N20" s="35">
        <f t="shared" si="42"/>
        <v>82848.91987293995</v>
      </c>
      <c r="O20" s="35">
        <f t="shared" si="30"/>
        <v>26331.686890481255</v>
      </c>
      <c r="P20" s="36">
        <f t="shared" si="31"/>
        <v>0.1620150267793902</v>
      </c>
      <c r="Q20" s="35">
        <f>VLOOKUP($B20,REPORTE!$A$3:$AV$200,23,FALSE)/1000000</f>
        <v>10377.135265139999</v>
      </c>
      <c r="R20" s="36">
        <f t="shared" si="32"/>
        <v>6.3848998921629055E-2</v>
      </c>
      <c r="S20" s="60">
        <f t="shared" si="33"/>
        <v>0.39409306772864872</v>
      </c>
      <c r="T20" s="35">
        <f t="shared" si="34"/>
        <v>25191.561234514993</v>
      </c>
      <c r="U20" s="40">
        <f t="shared" si="35"/>
        <v>0.155</v>
      </c>
      <c r="V20" s="35">
        <f>VLOOKUP($B20,REPORTE!$A$3:$AV$200,24,FALSE)/1000000</f>
        <v>10341.947733139999</v>
      </c>
      <c r="W20" s="36">
        <f t="shared" si="36"/>
        <v>6.3632495172249379E-2</v>
      </c>
      <c r="X20" s="127">
        <f t="shared" si="37"/>
        <v>0.41053222691773794</v>
      </c>
      <c r="Z20" s="35">
        <f>VLOOKUP($B20,REPORTE!$A$3:$AV$200,21,FALSE)/1000000</f>
        <v>79677.281640059999</v>
      </c>
      <c r="AA20" s="36">
        <f t="shared" si="38"/>
        <v>0.14971133732241765</v>
      </c>
      <c r="AB20" s="60">
        <f t="shared" si="43"/>
        <v>0.42770346905888512</v>
      </c>
      <c r="AC20" s="35">
        <f t="shared" si="44"/>
        <v>452528.78281093994</v>
      </c>
      <c r="AD20" s="35">
        <f>VLOOKUP($B20,REPORTE!$A$3:$AV$200,23,FALSE)/1000000</f>
        <v>10377.135265139999</v>
      </c>
      <c r="AE20" s="36">
        <f t="shared" si="39"/>
        <v>1.9498340883891636E-2</v>
      </c>
      <c r="AF20" s="127">
        <f t="shared" si="40"/>
        <v>0.12034896559589993</v>
      </c>
    </row>
    <row r="21" spans="1:38" s="41" customFormat="1" ht="24.75" customHeight="1">
      <c r="A21" s="38" t="s">
        <v>256</v>
      </c>
      <c r="B21" s="34" t="s">
        <v>249</v>
      </c>
      <c r="C21" s="35">
        <f>VLOOKUP(B21,REPORTE!$A$3:$AV$200,15,FALSE)/1000000</f>
        <v>17628.495070000001</v>
      </c>
      <c r="D21" s="35">
        <f>VLOOKUP(B21,REPORTE!$A$3:$AV$200,16,FALSE)/1000000</f>
        <v>0</v>
      </c>
      <c r="E21" s="35">
        <f>VLOOKUP(B21,REPORTE!$A$3:$AV$200,17,FALSE)/1000000</f>
        <v>0</v>
      </c>
      <c r="F21" s="35">
        <f>VLOOKUP(B21,REPORTE!$A$3:$AV$200,18,FALSE)/1000000</f>
        <v>17628.495070000001</v>
      </c>
      <c r="G21" s="35">
        <f>VLOOKUP(B21,REPORTE!$A$3:$AV$200,19,FALSE)/1000000</f>
        <v>0</v>
      </c>
      <c r="H21" s="35">
        <f t="shared" si="41"/>
        <v>17628.495070000001</v>
      </c>
      <c r="I21" s="35">
        <f t="shared" si="26"/>
        <v>6170.5965998325591</v>
      </c>
      <c r="J21" s="36">
        <f t="shared" si="27"/>
        <v>0.3500353589645675</v>
      </c>
      <c r="K21" s="35">
        <f>VLOOKUP($B21,REPORTE!$A$3:$AV$200,21,FALSE)/1000000</f>
        <v>15662.896876999999</v>
      </c>
      <c r="L21" s="36">
        <f t="shared" si="28"/>
        <v>0.88849880916125179</v>
      </c>
      <c r="M21" s="60">
        <f t="shared" si="29"/>
        <v>2.5383115916903427</v>
      </c>
      <c r="N21" s="35">
        <f t="shared" si="42"/>
        <v>1965.5981930000016</v>
      </c>
      <c r="O21" s="35">
        <f t="shared" si="30"/>
        <v>2856.0811008463984</v>
      </c>
      <c r="P21" s="36">
        <f t="shared" si="31"/>
        <v>0.1620150267793902</v>
      </c>
      <c r="Q21" s="35">
        <f>VLOOKUP($B21,REPORTE!$A$3:$AV$200,23,FALSE)/1000000</f>
        <v>27.376393</v>
      </c>
      <c r="R21" s="36">
        <f t="shared" si="32"/>
        <v>1.5529625694815478E-3</v>
      </c>
      <c r="S21" s="60">
        <f t="shared" si="33"/>
        <v>9.585299588266951E-3</v>
      </c>
      <c r="T21" s="35">
        <f t="shared" si="34"/>
        <v>2732.4167358499999</v>
      </c>
      <c r="U21" s="40">
        <f t="shared" si="35"/>
        <v>0.155</v>
      </c>
      <c r="V21" s="35">
        <f>VLOOKUP($B21,REPORTE!$A$3:$AV$200,24,FALSE)/1000000</f>
        <v>27.376393</v>
      </c>
      <c r="W21" s="36">
        <f t="shared" si="36"/>
        <v>1.5529625694815478E-3</v>
      </c>
      <c r="X21" s="127">
        <f t="shared" si="37"/>
        <v>1.0019113351493856E-2</v>
      </c>
      <c r="Z21" s="35">
        <f>VLOOKUP($B21,REPORTE!$A$3:$AV$200,21,FALSE)/1000000</f>
        <v>15662.896876999999</v>
      </c>
      <c r="AA21" s="36">
        <f t="shared" si="38"/>
        <v>0.88849880916125179</v>
      </c>
      <c r="AB21" s="60">
        <f t="shared" si="43"/>
        <v>2.5383115916903427</v>
      </c>
      <c r="AC21" s="35">
        <f t="shared" si="44"/>
        <v>1965.5981930000016</v>
      </c>
      <c r="AD21" s="35">
        <f>VLOOKUP($B21,REPORTE!$A$3:$AV$200,23,FALSE)/1000000</f>
        <v>27.376393</v>
      </c>
      <c r="AE21" s="36">
        <f t="shared" si="39"/>
        <v>1.5529625694815478E-3</v>
      </c>
      <c r="AF21" s="127">
        <f t="shared" si="40"/>
        <v>9.585299588266951E-3</v>
      </c>
    </row>
    <row r="22" spans="1:38">
      <c r="A22" s="258" t="s">
        <v>245</v>
      </c>
      <c r="B22" s="259"/>
      <c r="C22" s="260">
        <f t="shared" ref="C22" si="45">SUM(C16:C21)</f>
        <v>902208.42262999993</v>
      </c>
      <c r="D22" s="260">
        <f t="shared" ref="D22" si="46">SUM(D16:D21)</f>
        <v>0</v>
      </c>
      <c r="E22" s="260">
        <f t="shared" ref="E22" si="47">SUM(E16:E21)</f>
        <v>0</v>
      </c>
      <c r="F22" s="260">
        <f>SUM(F16:F21)</f>
        <v>902208.42262999993</v>
      </c>
      <c r="G22" s="260">
        <f t="shared" ref="G22" si="48">SUM(G16:G21)</f>
        <v>405001.56117499998</v>
      </c>
      <c r="H22" s="260">
        <f t="shared" ref="H22" si="49">SUM(H16:H21)</f>
        <v>497206.86145499995</v>
      </c>
      <c r="I22" s="260">
        <f t="shared" si="26"/>
        <v>174039.98222904687</v>
      </c>
      <c r="J22" s="261">
        <f t="shared" si="27"/>
        <v>0.3500353589645675</v>
      </c>
      <c r="K22" s="260">
        <f>SUM(K16:K21)</f>
        <v>230463.57507684</v>
      </c>
      <c r="L22" s="261">
        <f t="shared" ref="L22" si="50">K22/$H22</f>
        <v>0.46351648165599235</v>
      </c>
      <c r="M22" s="262">
        <f t="shared" si="29"/>
        <v>1.3241990267129329</v>
      </c>
      <c r="N22" s="260">
        <f>SUM(N16:N21)</f>
        <v>266743.28637815994</v>
      </c>
      <c r="O22" s="260">
        <f>SUM(O16:O21)</f>
        <v>80554.982973528371</v>
      </c>
      <c r="P22" s="261">
        <f t="shared" si="31"/>
        <v>0.1620150267793902</v>
      </c>
      <c r="Q22" s="260">
        <f>SUM(Q16:Q21)</f>
        <v>27248.982716170001</v>
      </c>
      <c r="R22" s="261">
        <f t="shared" ref="R22" si="51">Q22/$H22</f>
        <v>5.4804116412291687E-2</v>
      </c>
      <c r="S22" s="262">
        <f t="shared" si="33"/>
        <v>0.33826563808131455</v>
      </c>
      <c r="T22" s="260">
        <f>SUM(T16:T21)</f>
        <v>77067.063525524994</v>
      </c>
      <c r="U22" s="263">
        <f t="shared" si="35"/>
        <v>0.155</v>
      </c>
      <c r="V22" s="260">
        <f>SUM(V16:V21)</f>
        <v>27213.795184169998</v>
      </c>
      <c r="W22" s="261">
        <f t="shared" ref="W22" si="52">V22/$H22</f>
        <v>5.4733346005187825E-2</v>
      </c>
      <c r="X22" s="264">
        <f t="shared" si="37"/>
        <v>0.35311836132379243</v>
      </c>
      <c r="Z22" s="260">
        <f>SUM(Z16:Z21)</f>
        <v>230463.57507684</v>
      </c>
      <c r="AA22" s="261">
        <f>Z22/$F22</f>
        <v>0.25544383015736294</v>
      </c>
      <c r="AB22" s="262">
        <f t="shared" si="43"/>
        <v>0.72976578969903538</v>
      </c>
      <c r="AC22" s="260">
        <f>SUM(AC16:AC21)</f>
        <v>671744.84755315993</v>
      </c>
      <c r="AD22" s="260">
        <f>SUM(AD16:AD21)</f>
        <v>27248.982716170001</v>
      </c>
      <c r="AE22" s="261">
        <f>AD22/$F22</f>
        <v>3.0202536390357932E-2</v>
      </c>
      <c r="AF22" s="264">
        <f t="shared" si="40"/>
        <v>0.18641811806434225</v>
      </c>
    </row>
    <row r="23" spans="1:38" ht="10.5" customHeight="1">
      <c r="A23" s="23"/>
      <c r="B23" s="20"/>
      <c r="C23" s="20"/>
      <c r="D23" s="20"/>
      <c r="E23" s="20"/>
      <c r="F23" s="20"/>
      <c r="G23" s="20"/>
      <c r="H23" s="20"/>
      <c r="I23" s="20"/>
      <c r="J23" s="63"/>
      <c r="K23" s="20"/>
      <c r="L23" s="20"/>
      <c r="M23" s="58"/>
      <c r="N23" s="20"/>
      <c r="O23" s="20"/>
      <c r="P23" s="63"/>
      <c r="Q23" s="20"/>
      <c r="R23" s="20"/>
      <c r="S23" s="58"/>
      <c r="T23" s="334"/>
      <c r="U23" s="334"/>
      <c r="V23" s="336"/>
      <c r="W23" s="334"/>
      <c r="X23" s="337"/>
      <c r="Z23" s="20"/>
      <c r="AA23" s="20"/>
      <c r="AB23" s="58"/>
      <c r="AC23" s="58"/>
      <c r="AD23" s="20"/>
      <c r="AE23" s="20"/>
      <c r="AF23" s="128"/>
    </row>
    <row r="24" spans="1:38" ht="26.25" customHeight="1">
      <c r="A24" s="292" t="s">
        <v>225</v>
      </c>
      <c r="B24" s="293"/>
      <c r="C24" s="293"/>
      <c r="D24" s="293"/>
      <c r="E24" s="293"/>
      <c r="F24" s="293"/>
      <c r="G24" s="293"/>
      <c r="H24" s="293"/>
      <c r="I24" s="294" t="s">
        <v>2</v>
      </c>
      <c r="J24" s="295"/>
      <c r="K24" s="295"/>
      <c r="L24" s="295"/>
      <c r="M24" s="295"/>
      <c r="N24" s="296" t="s">
        <v>367</v>
      </c>
      <c r="O24" s="298" t="s">
        <v>3</v>
      </c>
      <c r="P24" s="299"/>
      <c r="Q24" s="299"/>
      <c r="R24" s="299"/>
      <c r="S24" s="300"/>
      <c r="T24" s="301" t="s">
        <v>113</v>
      </c>
      <c r="U24" s="301"/>
      <c r="V24" s="301"/>
      <c r="W24" s="301"/>
      <c r="X24" s="302"/>
      <c r="Z24" s="299" t="s">
        <v>2</v>
      </c>
      <c r="AA24" s="299"/>
      <c r="AB24" s="300"/>
      <c r="AC24" s="296" t="s">
        <v>367</v>
      </c>
      <c r="AD24" s="299" t="s">
        <v>3</v>
      </c>
      <c r="AE24" s="299"/>
      <c r="AF24" s="308"/>
    </row>
    <row r="25" spans="1:38" ht="33" customHeight="1">
      <c r="A25" s="256" t="s">
        <v>0</v>
      </c>
      <c r="B25" s="257" t="s">
        <v>243</v>
      </c>
      <c r="C25" s="255" t="s">
        <v>361</v>
      </c>
      <c r="D25" s="257" t="s">
        <v>355</v>
      </c>
      <c r="E25" s="257" t="s">
        <v>356</v>
      </c>
      <c r="F25" s="255" t="s">
        <v>1</v>
      </c>
      <c r="G25" s="255" t="s">
        <v>362</v>
      </c>
      <c r="H25" s="255" t="s">
        <v>358</v>
      </c>
      <c r="I25" s="255" t="s">
        <v>257</v>
      </c>
      <c r="J25" s="266" t="s">
        <v>4</v>
      </c>
      <c r="K25" s="255" t="s">
        <v>5</v>
      </c>
      <c r="L25" s="303" t="s">
        <v>4</v>
      </c>
      <c r="M25" s="304"/>
      <c r="N25" s="297"/>
      <c r="O25" s="255" t="str">
        <f>I25</f>
        <v>Meta</v>
      </c>
      <c r="P25" s="266" t="s">
        <v>4</v>
      </c>
      <c r="Q25" s="255" t="s">
        <v>5</v>
      </c>
      <c r="R25" s="303" t="s">
        <v>4</v>
      </c>
      <c r="S25" s="304"/>
      <c r="T25" s="255" t="str">
        <f>O25</f>
        <v>Meta</v>
      </c>
      <c r="U25" s="255" t="s">
        <v>4</v>
      </c>
      <c r="V25" s="255" t="s">
        <v>5</v>
      </c>
      <c r="W25" s="303" t="s">
        <v>4</v>
      </c>
      <c r="X25" s="305"/>
      <c r="Z25" s="255" t="s">
        <v>5</v>
      </c>
      <c r="AA25" s="303" t="s">
        <v>4</v>
      </c>
      <c r="AB25" s="304"/>
      <c r="AC25" s="297"/>
      <c r="AD25" s="255" t="s">
        <v>5</v>
      </c>
      <c r="AE25" s="303" t="s">
        <v>4</v>
      </c>
      <c r="AF25" s="309"/>
    </row>
    <row r="26" spans="1:38" s="41" customFormat="1" ht="24.75" customHeight="1">
      <c r="A26" s="38" t="s">
        <v>6</v>
      </c>
      <c r="B26" s="34" t="s">
        <v>252</v>
      </c>
      <c r="C26" s="35">
        <f>VLOOKUP(B26,REPORTE!$A$3:$AS$200,27,FALSE)/1000000</f>
        <v>111965.67974599999</v>
      </c>
      <c r="D26" s="35">
        <f>VLOOKUP(B26,REPORTE!$A$3:$AS$200,28,FALSE)/1000000</f>
        <v>0</v>
      </c>
      <c r="E26" s="35">
        <f>VLOOKUP(B26,REPORTE!$A$3:$AS$200,29,FALSE)/1000000</f>
        <v>0</v>
      </c>
      <c r="F26" s="35">
        <f>VLOOKUP(B26,REPORTE!$A$3:$AS$200,30,FALSE)/1000000</f>
        <v>111965.67974599999</v>
      </c>
      <c r="G26" s="35">
        <f>(VLOOKUP(B26,REPORTE!$A$3:$AS$200,31,FALSE)/1000000)</f>
        <v>0</v>
      </c>
      <c r="H26" s="35">
        <f>F26-G26</f>
        <v>111965.67974599999</v>
      </c>
      <c r="I26" s="35">
        <f t="shared" ref="I26:I32" si="53">J26*$H26</f>
        <v>39191.946901602911</v>
      </c>
      <c r="J26" s="36">
        <f t="shared" ref="J26:J32" si="54">$J$6</f>
        <v>0.3500353589645675</v>
      </c>
      <c r="K26" s="35">
        <f>VLOOKUP($B26,REPORTE!$A$3:$AS$200,33,FALSE)/1000000</f>
        <v>50207.780694100002</v>
      </c>
      <c r="L26" s="36">
        <f t="shared" ref="L26:L31" si="55">IF(H26=0,"",IF(H26="","",K26/$H26))</f>
        <v>0.44842116627165557</v>
      </c>
      <c r="M26" s="60">
        <f t="shared" ref="M26:M32" si="56">L26/J26</f>
        <v>1.2810739109275164</v>
      </c>
      <c r="N26" s="35">
        <f t="shared" ref="N26:N31" si="57">H26-K26</f>
        <v>61757.899051899993</v>
      </c>
      <c r="O26" s="35">
        <f t="shared" ref="O26:O31" si="58">P26*$H26</f>
        <v>18140.122602420815</v>
      </c>
      <c r="P26" s="36">
        <f t="shared" ref="P26:P32" si="59">$P$6</f>
        <v>0.1620150267793902</v>
      </c>
      <c r="Q26" s="35">
        <f>VLOOKUP($B26,REPORTE!$A$3:$AS$200,35,FALSE)/1000000</f>
        <v>21904.501156939998</v>
      </c>
      <c r="R26" s="36">
        <f t="shared" ref="R26:R31" si="60">IF(H26=0,"",IF(H26="","",Q26/$H26))</f>
        <v>0.1956358520453009</v>
      </c>
      <c r="S26" s="60">
        <f t="shared" ref="S26:S32" si="61">R26/P26</f>
        <v>1.2075167096178734</v>
      </c>
      <c r="T26" s="39">
        <f t="shared" ref="T26:T31" si="62">U26*$H26</f>
        <v>17354.680360629998</v>
      </c>
      <c r="U26" s="40">
        <f t="shared" ref="U26:U32" si="63">$U$6</f>
        <v>0.155</v>
      </c>
      <c r="V26" s="35">
        <f>VLOOKUP($B26,REPORTE!$A$3:$AS$200,36,FALSE)/1000000</f>
        <v>20771.258350689997</v>
      </c>
      <c r="W26" s="36">
        <f t="shared" ref="W26:W31" si="64">IF(H26=0,"",IF(H26="","",V26/$H26))</f>
        <v>0.18551451121281703</v>
      </c>
      <c r="X26" s="127">
        <f t="shared" ref="X26:X32" si="65">W26/U26</f>
        <v>1.196867814276239</v>
      </c>
      <c r="Z26" s="35">
        <f>VLOOKUP($B26,REPORTE!$A$3:$AS$200,33,FALSE)/1000000</f>
        <v>50207.780694100002</v>
      </c>
      <c r="AA26" s="36">
        <f t="shared" ref="AA26:AA31" si="66">IF(F26=0,"",IF(F26="","",Z26/$F26))</f>
        <v>0.44842116627165557</v>
      </c>
      <c r="AB26" s="60">
        <f t="shared" ref="AB26:AB32" si="67">AA26/$J26</f>
        <v>1.2810739109275164</v>
      </c>
      <c r="AC26" s="35">
        <f>F26-Z26</f>
        <v>61757.899051899993</v>
      </c>
      <c r="AD26" s="35">
        <f>VLOOKUP($B26,REPORTE!$A$3:$AS$200,35,FALSE)/1000000</f>
        <v>21904.501156939998</v>
      </c>
      <c r="AE26" s="36">
        <f t="shared" ref="AE26:AE31" si="68">IF(F26=0,"",IF(F26="","",AD26/$F26))</f>
        <v>0.1956358520453009</v>
      </c>
      <c r="AF26" s="127">
        <f t="shared" ref="AF26:AF32" si="69">AE26/P26</f>
        <v>1.2075167096178734</v>
      </c>
    </row>
    <row r="27" spans="1:38" s="41" customFormat="1" ht="24.6" customHeight="1">
      <c r="A27" s="38" t="s">
        <v>237</v>
      </c>
      <c r="B27" s="34" t="s">
        <v>253</v>
      </c>
      <c r="C27" s="35">
        <f>VLOOKUP(B27,REPORTE!$A$3:$AS$200,27,FALSE)/1000000</f>
        <v>56889</v>
      </c>
      <c r="D27" s="35">
        <f>VLOOKUP(B27,REPORTE!$A$3:$AS$200,28,FALSE)/1000000</f>
        <v>0</v>
      </c>
      <c r="E27" s="35">
        <f>VLOOKUP(B27,REPORTE!$A$3:$AS$200,29,FALSE)/1000000</f>
        <v>0</v>
      </c>
      <c r="F27" s="35">
        <f>VLOOKUP(B27,REPORTE!$A$3:$AS$200,30,FALSE)/1000000</f>
        <v>56889</v>
      </c>
      <c r="G27" s="35">
        <f>VLOOKUP(B27,REPORTE!$A$3:$AS$200,31,FALSE)/1000000</f>
        <v>0</v>
      </c>
      <c r="H27" s="35">
        <f t="shared" ref="H27:H31" si="70">F27-G27</f>
        <v>56889</v>
      </c>
      <c r="I27" s="35">
        <f t="shared" si="53"/>
        <v>19913.161536135281</v>
      </c>
      <c r="J27" s="36">
        <f t="shared" si="54"/>
        <v>0.3500353589645675</v>
      </c>
      <c r="K27" s="35">
        <f>VLOOKUP($B27,REPORTE!$A$3:$AS$200,33,FALSE)/1000000</f>
        <v>15317.42771057</v>
      </c>
      <c r="L27" s="36">
        <f t="shared" si="55"/>
        <v>0.26925113309374399</v>
      </c>
      <c r="M27" s="60">
        <f t="shared" si="56"/>
        <v>0.76921124165915777</v>
      </c>
      <c r="N27" s="35">
        <f t="shared" si="57"/>
        <v>41571.572289429998</v>
      </c>
      <c r="O27" s="35">
        <f t="shared" si="58"/>
        <v>9216.8728584527289</v>
      </c>
      <c r="P27" s="36">
        <f t="shared" si="59"/>
        <v>0.1620150267793902</v>
      </c>
      <c r="Q27" s="35">
        <f>VLOOKUP($B27,REPORTE!$A$3:$AS$200,35,FALSE)/1000000</f>
        <v>9489.3795193400001</v>
      </c>
      <c r="R27" s="36">
        <f t="shared" si="60"/>
        <v>0.1668051735720438</v>
      </c>
      <c r="S27" s="60">
        <f t="shared" si="61"/>
        <v>1.029566064876045</v>
      </c>
      <c r="T27" s="35">
        <f t="shared" si="62"/>
        <v>8817.7950000000001</v>
      </c>
      <c r="U27" s="40">
        <f t="shared" si="63"/>
        <v>0.155</v>
      </c>
      <c r="V27" s="35">
        <f>VLOOKUP($B27,REPORTE!$A$3:$AS$200,36,FALSE)/1000000</f>
        <v>9489.3795193400001</v>
      </c>
      <c r="W27" s="36">
        <f t="shared" si="64"/>
        <v>0.1668051735720438</v>
      </c>
      <c r="X27" s="127">
        <f t="shared" si="65"/>
        <v>1.076162410142218</v>
      </c>
      <c r="Z27" s="35">
        <f>VLOOKUP($B27,REPORTE!$A$3:$AS$200,33,FALSE)/1000000</f>
        <v>15317.42771057</v>
      </c>
      <c r="AA27" s="36">
        <f t="shared" si="66"/>
        <v>0.26925113309374399</v>
      </c>
      <c r="AB27" s="60">
        <f t="shared" si="67"/>
        <v>0.76921124165915777</v>
      </c>
      <c r="AC27" s="35">
        <f t="shared" ref="AC27:AC31" si="71">F27-Z27</f>
        <v>41571.572289429998</v>
      </c>
      <c r="AD27" s="35">
        <f>VLOOKUP($B27,REPORTE!$A$3:$AS$200,35,FALSE)/1000000</f>
        <v>9489.3795193400001</v>
      </c>
      <c r="AE27" s="36">
        <f t="shared" si="68"/>
        <v>0.1668051735720438</v>
      </c>
      <c r="AF27" s="127">
        <f t="shared" si="69"/>
        <v>1.029566064876045</v>
      </c>
    </row>
    <row r="28" spans="1:38" s="41" customFormat="1" ht="24.75" customHeight="1">
      <c r="A28" s="38" t="s">
        <v>7</v>
      </c>
      <c r="B28" s="34" t="s">
        <v>248</v>
      </c>
      <c r="C28" s="35">
        <f>VLOOKUP(B28,REPORTE!$A$3:$AS$200,27,FALSE)/1000000</f>
        <v>80619.565000000002</v>
      </c>
      <c r="D28" s="35">
        <f>VLOOKUP(B28,REPORTE!$A$3:$AS$200,28,FALSE)/1000000</f>
        <v>0</v>
      </c>
      <c r="E28" s="35">
        <f>VLOOKUP(B28,REPORTE!$A$3:$AS$200,29,FALSE)/1000000</f>
        <v>0</v>
      </c>
      <c r="F28" s="35">
        <f>VLOOKUP(B28,REPORTE!$A$3:$AS$200,30,FALSE)/1000000</f>
        <v>80619.565000000002</v>
      </c>
      <c r="G28" s="35">
        <f>(VLOOKUP(B28,REPORTE!$A$3:$AS$200,31,FALSE)/1000000)</f>
        <v>4651.1000000000004</v>
      </c>
      <c r="H28" s="35">
        <f t="shared" si="70"/>
        <v>75968.464999999997</v>
      </c>
      <c r="I28" s="35">
        <f t="shared" si="53"/>
        <v>26591.64891626218</v>
      </c>
      <c r="J28" s="36">
        <f t="shared" si="54"/>
        <v>0.3500353589645675</v>
      </c>
      <c r="K28" s="35">
        <f>VLOOKUP($B28,REPORTE!$A$3:$AS$200,33,FALSE)/1000000</f>
        <v>24117.735328179999</v>
      </c>
      <c r="L28" s="36">
        <f t="shared" si="55"/>
        <v>0.31747035204910351</v>
      </c>
      <c r="M28" s="60">
        <f t="shared" si="56"/>
        <v>0.90696652186283733</v>
      </c>
      <c r="N28" s="35">
        <f t="shared" si="57"/>
        <v>51850.729671819994</v>
      </c>
      <c r="O28" s="35">
        <f t="shared" si="58"/>
        <v>12308.032891364166</v>
      </c>
      <c r="P28" s="36">
        <f t="shared" si="59"/>
        <v>0.1620150267793902</v>
      </c>
      <c r="Q28" s="35">
        <f>VLOOKUP($B28,REPORTE!$A$3:$AS$200,35,FALSE)/1000000</f>
        <v>14422.26613584</v>
      </c>
      <c r="R28" s="36">
        <f t="shared" si="60"/>
        <v>0.18984543304698864</v>
      </c>
      <c r="S28" s="60">
        <f t="shared" si="61"/>
        <v>1.1717766976361648</v>
      </c>
      <c r="T28" s="35">
        <f t="shared" si="62"/>
        <v>11775.112074999999</v>
      </c>
      <c r="U28" s="40">
        <f t="shared" si="63"/>
        <v>0.155</v>
      </c>
      <c r="V28" s="35">
        <f>VLOOKUP($B28,REPORTE!$A$3:$AS$200,36,FALSE)/1000000</f>
        <v>14389.257293840001</v>
      </c>
      <c r="W28" s="36">
        <f t="shared" si="64"/>
        <v>0.18941092588668207</v>
      </c>
      <c r="X28" s="127">
        <f t="shared" si="65"/>
        <v>1.2220059734624649</v>
      </c>
      <c r="Z28" s="35">
        <f>VLOOKUP($B28,REPORTE!$A$3:$AS$200,33,FALSE)/1000000</f>
        <v>24117.735328179999</v>
      </c>
      <c r="AA28" s="36">
        <f t="shared" si="66"/>
        <v>0.29915486802961538</v>
      </c>
      <c r="AB28" s="60">
        <f t="shared" si="67"/>
        <v>0.85464185365312617</v>
      </c>
      <c r="AC28" s="35">
        <f t="shared" si="71"/>
        <v>56501.82967182</v>
      </c>
      <c r="AD28" s="35">
        <f>VLOOKUP($B28,REPORTE!$A$3:$AS$200,35,FALSE)/1000000</f>
        <v>14422.26613584</v>
      </c>
      <c r="AE28" s="36">
        <f t="shared" si="68"/>
        <v>0.17889287961104727</v>
      </c>
      <c r="AF28" s="127">
        <f t="shared" si="69"/>
        <v>1.1041746137204855</v>
      </c>
    </row>
    <row r="29" spans="1:38" s="41" customFormat="1" ht="24.75" customHeight="1">
      <c r="A29" s="38" t="s">
        <v>8</v>
      </c>
      <c r="B29" s="34" t="s">
        <v>251</v>
      </c>
      <c r="C29" s="35">
        <f>VLOOKUP(B29,REPORTE!$A$3:$AS$200,27,FALSE)/1000000</f>
        <v>54952</v>
      </c>
      <c r="D29" s="35">
        <f>VLOOKUP(B29,REPORTE!$A$3:$AS$200,28,FALSE)/1000000</f>
        <v>0</v>
      </c>
      <c r="E29" s="35">
        <f>VLOOKUP(B29,REPORTE!$A$3:$AS$200,29,FALSE)/1000000</f>
        <v>0</v>
      </c>
      <c r="F29" s="35">
        <f>VLOOKUP(B29,REPORTE!$A$3:$AS$200,30,FALSE)/1000000</f>
        <v>54952</v>
      </c>
      <c r="G29" s="35">
        <f>VLOOKUP(B29,REPORTE!$A$3:$AS$200,31,FALSE)/1000000</f>
        <v>0</v>
      </c>
      <c r="H29" s="35">
        <f t="shared" si="70"/>
        <v>54952</v>
      </c>
      <c r="I29" s="35">
        <f t="shared" si="53"/>
        <v>19235.143045820914</v>
      </c>
      <c r="J29" s="36">
        <f t="shared" si="54"/>
        <v>0.3500353589645675</v>
      </c>
      <c r="K29" s="35">
        <f>VLOOKUP($B29,REPORTE!$A$3:$AS$200,33,FALSE)/1000000</f>
        <v>16923.446704530001</v>
      </c>
      <c r="L29" s="36">
        <f t="shared" si="55"/>
        <v>0.30796780289216047</v>
      </c>
      <c r="M29" s="60">
        <f t="shared" si="56"/>
        <v>0.87981912399694073</v>
      </c>
      <c r="N29" s="35">
        <f t="shared" si="57"/>
        <v>38028.553295470003</v>
      </c>
      <c r="O29" s="35">
        <f t="shared" si="58"/>
        <v>8903.0497515810493</v>
      </c>
      <c r="P29" s="36">
        <f t="shared" si="59"/>
        <v>0.1620150267793902</v>
      </c>
      <c r="Q29" s="35">
        <f>VLOOKUP($B29,REPORTE!$A$3:$AS$200,35,FALSE)/1000000</f>
        <v>8676.8450198600003</v>
      </c>
      <c r="R29" s="36">
        <f t="shared" si="60"/>
        <v>0.15789862097576066</v>
      </c>
      <c r="S29" s="60">
        <f t="shared" si="61"/>
        <v>0.97459244438335524</v>
      </c>
      <c r="T29" s="35">
        <f t="shared" si="62"/>
        <v>8517.56</v>
      </c>
      <c r="U29" s="40">
        <f t="shared" si="63"/>
        <v>0.155</v>
      </c>
      <c r="V29" s="35">
        <f>VLOOKUP($B29,REPORTE!$A$3:$AS$200,36,FALSE)/1000000</f>
        <v>8676.8450198600003</v>
      </c>
      <c r="W29" s="36">
        <f t="shared" si="64"/>
        <v>0.15789862097576066</v>
      </c>
      <c r="X29" s="127">
        <f t="shared" si="65"/>
        <v>1.0187007804887784</v>
      </c>
      <c r="Z29" s="35">
        <f>VLOOKUP($B29,REPORTE!$A$3:$AS$200,33,FALSE)/1000000</f>
        <v>16923.446704530001</v>
      </c>
      <c r="AA29" s="36">
        <f t="shared" si="66"/>
        <v>0.30796780289216047</v>
      </c>
      <c r="AB29" s="60">
        <f t="shared" si="67"/>
        <v>0.87981912399694073</v>
      </c>
      <c r="AC29" s="35">
        <f t="shared" si="71"/>
        <v>38028.553295470003</v>
      </c>
      <c r="AD29" s="35">
        <f>VLOOKUP($B29,REPORTE!$A$3:$AS$200,35,FALSE)/1000000</f>
        <v>8676.8450198600003</v>
      </c>
      <c r="AE29" s="36">
        <f t="shared" si="68"/>
        <v>0.15789862097576066</v>
      </c>
      <c r="AF29" s="127">
        <f t="shared" si="69"/>
        <v>0.97459244438335524</v>
      </c>
    </row>
    <row r="30" spans="1:38" s="41" customFormat="1" ht="24.75" customHeight="1">
      <c r="A30" s="38" t="s">
        <v>9</v>
      </c>
      <c r="B30" s="34" t="s">
        <v>250</v>
      </c>
      <c r="C30" s="35">
        <f>VLOOKUP(B30,REPORTE!$A$3:$AS$200,27,FALSE)/1000000</f>
        <v>82511.565000000002</v>
      </c>
      <c r="D30" s="35">
        <f>VLOOKUP(B30,REPORTE!$A$3:$AS$200,28,FALSE)/1000000</f>
        <v>0</v>
      </c>
      <c r="E30" s="35">
        <f>VLOOKUP(B30,REPORTE!$A$3:$AS$200,29,FALSE)/1000000</f>
        <v>0</v>
      </c>
      <c r="F30" s="35">
        <f>VLOOKUP(B30,REPORTE!$A$3:$AS$200,30,FALSE)/1000000</f>
        <v>82511.565000000002</v>
      </c>
      <c r="G30" s="35">
        <f>(VLOOKUP(B30,REPORTE!$A$3:$AS$200,31,FALSE)/1000000)</f>
        <v>0</v>
      </c>
      <c r="H30" s="35">
        <f t="shared" si="70"/>
        <v>82511.565000000002</v>
      </c>
      <c r="I30" s="35">
        <f t="shared" si="53"/>
        <v>28881.965273503243</v>
      </c>
      <c r="J30" s="36">
        <f t="shared" si="54"/>
        <v>0.3500353589645675</v>
      </c>
      <c r="K30" s="35">
        <f>VLOOKUP($B30,REPORTE!$A$3:$AS$200,33,FALSE)/1000000</f>
        <v>81100.574084000007</v>
      </c>
      <c r="L30" s="36">
        <f t="shared" si="55"/>
        <v>0.98289947698846825</v>
      </c>
      <c r="M30" s="60">
        <f t="shared" si="56"/>
        <v>2.8080005399910548</v>
      </c>
      <c r="N30" s="35">
        <f t="shared" si="57"/>
        <v>1410.9909159999952</v>
      </c>
      <c r="O30" s="35">
        <f t="shared" si="58"/>
        <v>13368.113413084395</v>
      </c>
      <c r="P30" s="36">
        <f t="shared" si="59"/>
        <v>0.1620150267793902</v>
      </c>
      <c r="Q30" s="35">
        <f>VLOOKUP($B30,REPORTE!$A$3:$AS$200,35,FALSE)/1000000</f>
        <v>81100.574084000007</v>
      </c>
      <c r="R30" s="36">
        <f t="shared" si="60"/>
        <v>0.98289947698846825</v>
      </c>
      <c r="S30" s="60">
        <f t="shared" si="61"/>
        <v>6.0667179861460978</v>
      </c>
      <c r="T30" s="35">
        <f t="shared" si="62"/>
        <v>12789.292574999999</v>
      </c>
      <c r="U30" s="40">
        <f t="shared" si="63"/>
        <v>0.155</v>
      </c>
      <c r="V30" s="35">
        <f>VLOOKUP($B30,REPORTE!$A$3:$AS$200,36,FALSE)/1000000</f>
        <v>81100.574084000007</v>
      </c>
      <c r="W30" s="36">
        <f t="shared" si="64"/>
        <v>0.98289947698846825</v>
      </c>
      <c r="X30" s="127">
        <f t="shared" si="65"/>
        <v>6.3412869483126988</v>
      </c>
      <c r="Z30" s="35">
        <f>VLOOKUP($B30,REPORTE!$A$3:$AS$200,33,FALSE)/1000000</f>
        <v>81100.574084000007</v>
      </c>
      <c r="AA30" s="36">
        <f t="shared" si="66"/>
        <v>0.98289947698846825</v>
      </c>
      <c r="AB30" s="60">
        <f t="shared" si="67"/>
        <v>2.8080005399910548</v>
      </c>
      <c r="AC30" s="35">
        <f t="shared" si="71"/>
        <v>1410.9909159999952</v>
      </c>
      <c r="AD30" s="35">
        <f>VLOOKUP($B30,REPORTE!$A$3:$AS$200,35,FALSE)/1000000</f>
        <v>81100.574084000007</v>
      </c>
      <c r="AE30" s="36">
        <f t="shared" si="68"/>
        <v>0.98289947698846825</v>
      </c>
      <c r="AF30" s="127">
        <f t="shared" si="69"/>
        <v>6.0667179861460978</v>
      </c>
    </row>
    <row r="31" spans="1:38" s="41" customFormat="1" ht="24.75" customHeight="1">
      <c r="A31" s="38" t="s">
        <v>256</v>
      </c>
      <c r="B31" s="34" t="s">
        <v>249</v>
      </c>
      <c r="C31" s="35">
        <f>VLOOKUP(B31,REPORTE!$A$3:$AS$200,27,FALSE)/1000000</f>
        <v>90596.826019999993</v>
      </c>
      <c r="D31" s="35">
        <f>VLOOKUP(B31,REPORTE!$A$3:$AS$200,28,FALSE)/1000000</f>
        <v>0</v>
      </c>
      <c r="E31" s="35">
        <f>VLOOKUP(B31,REPORTE!$A$3:$AS$200,29,FALSE)/1000000</f>
        <v>0</v>
      </c>
      <c r="F31" s="35">
        <f>VLOOKUP(B31,REPORTE!$A$3:$AS$200,30,FALSE)/1000000</f>
        <v>90596.826019999993</v>
      </c>
      <c r="G31" s="35">
        <f>VLOOKUP(B31,REPORTE!$A$3:$AS$200,31,FALSE)/1000000</f>
        <v>0</v>
      </c>
      <c r="H31" s="35">
        <f t="shared" si="70"/>
        <v>90596.826019999993</v>
      </c>
      <c r="I31" s="35">
        <f t="shared" si="53"/>
        <v>31712.092516961166</v>
      </c>
      <c r="J31" s="36">
        <f t="shared" si="54"/>
        <v>0.3500353589645675</v>
      </c>
      <c r="K31" s="35">
        <f>VLOOKUP($B31,REPORTE!$A$3:$AS$200,33,FALSE)/1000000</f>
        <v>24611.617483950002</v>
      </c>
      <c r="L31" s="36">
        <f t="shared" si="55"/>
        <v>0.27166092417538762</v>
      </c>
      <c r="M31" s="60">
        <f t="shared" si="56"/>
        <v>0.77609566353234227</v>
      </c>
      <c r="N31" s="35">
        <f t="shared" si="57"/>
        <v>65985.208536049991</v>
      </c>
      <c r="O31" s="35">
        <f t="shared" si="58"/>
        <v>14678.047193758053</v>
      </c>
      <c r="P31" s="36">
        <f t="shared" si="59"/>
        <v>0.1620150267793902</v>
      </c>
      <c r="Q31" s="35">
        <f>VLOOKUP($B31,REPORTE!$A$3:$AS$200,35,FALSE)/1000000</f>
        <v>22464.39826075</v>
      </c>
      <c r="R31" s="36">
        <f t="shared" si="60"/>
        <v>0.24796010244101488</v>
      </c>
      <c r="S31" s="60">
        <f t="shared" si="61"/>
        <v>1.5304759525710716</v>
      </c>
      <c r="T31" s="35">
        <f t="shared" si="62"/>
        <v>14042.508033099999</v>
      </c>
      <c r="U31" s="40">
        <f t="shared" si="63"/>
        <v>0.155</v>
      </c>
      <c r="V31" s="35">
        <f>VLOOKUP($B31,REPORTE!$A$3:$AS$200,36,FALSE)/1000000</f>
        <v>21572.10441675</v>
      </c>
      <c r="W31" s="36">
        <f t="shared" si="64"/>
        <v>0.23811103947491252</v>
      </c>
      <c r="X31" s="127">
        <f t="shared" si="65"/>
        <v>1.5362002546768549</v>
      </c>
      <c r="Z31" s="35">
        <f>VLOOKUP($B31,REPORTE!$A$3:$AS$200,33,FALSE)/1000000</f>
        <v>24611.617483950002</v>
      </c>
      <c r="AA31" s="36">
        <f t="shared" si="66"/>
        <v>0.27166092417538762</v>
      </c>
      <c r="AB31" s="60">
        <f t="shared" si="67"/>
        <v>0.77609566353234227</v>
      </c>
      <c r="AC31" s="35">
        <f t="shared" si="71"/>
        <v>65985.208536049991</v>
      </c>
      <c r="AD31" s="35">
        <f>VLOOKUP($B31,REPORTE!$A$3:$AS$200,35,FALSE)/1000000</f>
        <v>22464.39826075</v>
      </c>
      <c r="AE31" s="36">
        <f t="shared" si="68"/>
        <v>0.24796010244101488</v>
      </c>
      <c r="AF31" s="127">
        <f t="shared" si="69"/>
        <v>1.5304759525710716</v>
      </c>
    </row>
    <row r="32" spans="1:38">
      <c r="A32" s="258" t="s">
        <v>245</v>
      </c>
      <c r="B32" s="259"/>
      <c r="C32" s="260">
        <f>SUM(C26:C31)</f>
        <v>477534.63576599996</v>
      </c>
      <c r="D32" s="260">
        <f t="shared" ref="D32" si="72">SUM(D26:D31)</f>
        <v>0</v>
      </c>
      <c r="E32" s="260">
        <f t="shared" ref="E32" si="73">SUM(E26:E31)</f>
        <v>0</v>
      </c>
      <c r="F32" s="260">
        <f>SUM(F26:F31)</f>
        <v>477534.63576599996</v>
      </c>
      <c r="G32" s="260">
        <f t="shared" ref="G32" si="74">SUM(G26:G31)</f>
        <v>4651.1000000000004</v>
      </c>
      <c r="H32" s="260">
        <f t="shared" ref="H32" si="75">SUM(H26:H31)</f>
        <v>472883.53576599993</v>
      </c>
      <c r="I32" s="260">
        <f t="shared" si="53"/>
        <v>165525.95819028569</v>
      </c>
      <c r="J32" s="261">
        <f t="shared" si="54"/>
        <v>0.3500353589645675</v>
      </c>
      <c r="K32" s="260">
        <f>SUM(K26:K31)</f>
        <v>212278.58200533001</v>
      </c>
      <c r="L32" s="261">
        <f t="shared" ref="L32" si="76">K32/$H32</f>
        <v>0.44890245895634906</v>
      </c>
      <c r="M32" s="262">
        <f t="shared" si="56"/>
        <v>1.2824488939752781</v>
      </c>
      <c r="N32" s="260">
        <f>SUM(N26:N31)</f>
        <v>260604.95376066997</v>
      </c>
      <c r="O32" s="260">
        <f>SUM(O26:O31)</f>
        <v>76614.2387106612</v>
      </c>
      <c r="P32" s="261">
        <f t="shared" si="59"/>
        <v>0.1620150267793902</v>
      </c>
      <c r="Q32" s="260">
        <f>SUM(Q26:Q31)</f>
        <v>158057.96417673002</v>
      </c>
      <c r="R32" s="261">
        <f t="shared" ref="R32" si="77">Q32/$H32</f>
        <v>0.33424289961945913</v>
      </c>
      <c r="S32" s="262">
        <f t="shared" si="61"/>
        <v>2.063036412508731</v>
      </c>
      <c r="T32" s="260">
        <f>SUM(T26:T31)</f>
        <v>73296.948043729994</v>
      </c>
      <c r="U32" s="263">
        <f t="shared" si="63"/>
        <v>0.155</v>
      </c>
      <c r="V32" s="260">
        <f>SUM(V26:V31)</f>
        <v>155999.41868447998</v>
      </c>
      <c r="W32" s="261">
        <f t="shared" ref="W32" si="78">V32/$H32</f>
        <v>0.32988972312555664</v>
      </c>
      <c r="X32" s="264">
        <f t="shared" si="65"/>
        <v>2.1283207943584301</v>
      </c>
      <c r="Y32" s="265"/>
      <c r="Z32" s="260">
        <f>SUM(Z26:Z31)</f>
        <v>212278.58200533001</v>
      </c>
      <c r="AA32" s="261">
        <f>Z32/$F32</f>
        <v>0.44453023112097384</v>
      </c>
      <c r="AB32" s="262">
        <f t="shared" si="67"/>
        <v>1.2699580763381439</v>
      </c>
      <c r="AC32" s="260">
        <f>SUM(AC26:AC31)</f>
        <v>265256.05376066995</v>
      </c>
      <c r="AD32" s="260">
        <f>SUM(AD26:AD31)</f>
        <v>158057.96417673002</v>
      </c>
      <c r="AE32" s="261">
        <f>AD32/$F32</f>
        <v>0.33098743491808436</v>
      </c>
      <c r="AF32" s="264">
        <f t="shared" si="69"/>
        <v>2.0429428152289697</v>
      </c>
    </row>
    <row r="33" spans="1:40" ht="10.5" customHeight="1">
      <c r="A33" s="268"/>
      <c r="B33" s="269"/>
      <c r="C33" s="270"/>
      <c r="D33" s="270"/>
      <c r="E33" s="270"/>
      <c r="F33" s="270"/>
      <c r="G33" s="270"/>
      <c r="H33" s="270"/>
      <c r="I33" s="270"/>
      <c r="J33" s="271"/>
      <c r="K33" s="270"/>
      <c r="L33" s="271"/>
      <c r="M33" s="272"/>
      <c r="N33" s="270"/>
      <c r="O33" s="270"/>
      <c r="P33" s="271"/>
      <c r="Q33" s="270"/>
      <c r="R33" s="271"/>
      <c r="S33" s="272"/>
      <c r="T33" s="270"/>
      <c r="U33" s="273"/>
      <c r="V33" s="270"/>
      <c r="W33" s="271"/>
      <c r="X33" s="274"/>
      <c r="Z33" s="270"/>
      <c r="AA33" s="271"/>
      <c r="AB33" s="272"/>
      <c r="AC33" s="270"/>
      <c r="AD33" s="270"/>
      <c r="AE33" s="271"/>
      <c r="AF33" s="274"/>
      <c r="AH33" s="138"/>
      <c r="AI33" s="138"/>
    </row>
    <row r="34" spans="1:40" ht="23.25" customHeight="1">
      <c r="A34" s="292" t="s">
        <v>443</v>
      </c>
      <c r="B34" s="293"/>
      <c r="C34" s="293"/>
      <c r="D34" s="293"/>
      <c r="E34" s="293"/>
      <c r="F34" s="293"/>
      <c r="G34" s="293"/>
      <c r="H34" s="293"/>
      <c r="I34" s="294" t="s">
        <v>2</v>
      </c>
      <c r="J34" s="295"/>
      <c r="K34" s="295"/>
      <c r="L34" s="295"/>
      <c r="M34" s="295"/>
      <c r="N34" s="296" t="s">
        <v>367</v>
      </c>
      <c r="O34" s="298" t="s">
        <v>3</v>
      </c>
      <c r="P34" s="299"/>
      <c r="Q34" s="299"/>
      <c r="R34" s="299"/>
      <c r="S34" s="300"/>
      <c r="T34" s="301" t="s">
        <v>113</v>
      </c>
      <c r="U34" s="301"/>
      <c r="V34" s="301"/>
      <c r="W34" s="301"/>
      <c r="X34" s="302"/>
      <c r="Z34" s="299" t="s">
        <v>2</v>
      </c>
      <c r="AA34" s="299"/>
      <c r="AB34" s="300"/>
      <c r="AC34" s="296" t="s">
        <v>367</v>
      </c>
      <c r="AD34" s="299" t="s">
        <v>3</v>
      </c>
      <c r="AE34" s="299"/>
      <c r="AF34" s="308"/>
      <c r="AH34" s="319" t="s">
        <v>387</v>
      </c>
      <c r="AI34" s="320"/>
      <c r="AJ34" s="320"/>
    </row>
    <row r="35" spans="1:40" ht="31.5">
      <c r="A35" s="256" t="s">
        <v>0</v>
      </c>
      <c r="B35" s="257" t="s">
        <v>243</v>
      </c>
      <c r="C35" s="255" t="s">
        <v>361</v>
      </c>
      <c r="D35" s="257" t="s">
        <v>355</v>
      </c>
      <c r="E35" s="257" t="s">
        <v>356</v>
      </c>
      <c r="F35" s="255" t="s">
        <v>1</v>
      </c>
      <c r="G35" s="255" t="s">
        <v>362</v>
      </c>
      <c r="H35" s="255" t="s">
        <v>358</v>
      </c>
      <c r="I35" s="255" t="s">
        <v>257</v>
      </c>
      <c r="J35" s="266" t="s">
        <v>4</v>
      </c>
      <c r="K35" s="255" t="s">
        <v>5</v>
      </c>
      <c r="L35" s="303" t="s">
        <v>4</v>
      </c>
      <c r="M35" s="304"/>
      <c r="N35" s="297"/>
      <c r="O35" s="255" t="str">
        <f>I35</f>
        <v>Meta</v>
      </c>
      <c r="P35" s="266" t="s">
        <v>4</v>
      </c>
      <c r="Q35" s="255" t="s">
        <v>5</v>
      </c>
      <c r="R35" s="303" t="s">
        <v>4</v>
      </c>
      <c r="S35" s="304"/>
      <c r="T35" s="255" t="str">
        <f>O35</f>
        <v>Meta</v>
      </c>
      <c r="U35" s="255" t="s">
        <v>4</v>
      </c>
      <c r="V35" s="255" t="s">
        <v>5</v>
      </c>
      <c r="W35" s="303" t="s">
        <v>4</v>
      </c>
      <c r="X35" s="305"/>
      <c r="Z35" s="255" t="s">
        <v>5</v>
      </c>
      <c r="AA35" s="303" t="s">
        <v>4</v>
      </c>
      <c r="AB35" s="304"/>
      <c r="AC35" s="297"/>
      <c r="AD35" s="255" t="s">
        <v>5</v>
      </c>
      <c r="AE35" s="303" t="s">
        <v>4</v>
      </c>
      <c r="AF35" s="309"/>
      <c r="AH35" s="267" t="s">
        <v>2</v>
      </c>
      <c r="AI35" s="267" t="s">
        <v>3</v>
      </c>
      <c r="AJ35" s="267" t="s">
        <v>113</v>
      </c>
    </row>
    <row r="36" spans="1:40" ht="24" customHeight="1">
      <c r="A36" s="38" t="s">
        <v>6</v>
      </c>
      <c r="B36" s="34" t="s">
        <v>252</v>
      </c>
      <c r="C36" s="35">
        <f>VLOOKUP(B36,REPORTE!$A$3:$AV$200,39,FALSE)/1000000</f>
        <v>4117.8464949999998</v>
      </c>
      <c r="D36" s="35">
        <f>VLOOKUP(B36,REPORTE!$A$3:$AV$200,40,FALSE)/1000000</f>
        <v>0</v>
      </c>
      <c r="E36" s="35">
        <f>VLOOKUP(B36,REPORTE!$A$3:$AV$200,41,FALSE)/1000000</f>
        <v>0</v>
      </c>
      <c r="F36" s="35">
        <f>VLOOKUP(B36,REPORTE!$A$3:$AV$200,42,FALSE)/1000000</f>
        <v>4117.8464949999998</v>
      </c>
      <c r="G36" s="35">
        <f>(VLOOKUP(B36,REPORTE!$A$3:$AV$200,43,FALSE)/1000000)</f>
        <v>0</v>
      </c>
      <c r="H36" s="35">
        <f>F36-G36</f>
        <v>4117.8464949999998</v>
      </c>
      <c r="I36" s="35">
        <f t="shared" ref="I36:I41" si="79">J36*$H36</f>
        <v>1441.391876038311</v>
      </c>
      <c r="J36" s="36">
        <f t="shared" ref="J36:J41" si="80">$J$6</f>
        <v>0.3500353589645675</v>
      </c>
      <c r="K36" s="35">
        <f>VLOOKUP($B36,REPORTE!$A$3:$AV$200,45,FALSE)/1000000</f>
        <v>0</v>
      </c>
      <c r="L36" s="36">
        <f t="shared" ref="L36:L40" si="81">IF(H36=0,"",IF(H36="","",K36/$H36))</f>
        <v>0</v>
      </c>
      <c r="M36" s="60">
        <f t="shared" ref="M36:M41" si="82">L36/J36</f>
        <v>0</v>
      </c>
      <c r="N36" s="35">
        <f t="shared" ref="N36:N40" si="83">H36-K36</f>
        <v>4117.8464949999998</v>
      </c>
      <c r="O36" s="35">
        <f t="shared" ref="O36:O40" si="84">P36*$H36</f>
        <v>667.153010160843</v>
      </c>
      <c r="P36" s="36">
        <f t="shared" ref="P36:P41" si="85">$P$6</f>
        <v>0.1620150267793902</v>
      </c>
      <c r="Q36" s="35">
        <f>VLOOKUP($B36,REPORTE!$A$3:$AV$200,47,FALSE)/1000000</f>
        <v>0</v>
      </c>
      <c r="R36" s="36">
        <f t="shared" ref="R36:R40" si="86">IF(H36=0,"",IF(H36="","",Q36/$H36))</f>
        <v>0</v>
      </c>
      <c r="S36" s="60">
        <f t="shared" ref="S36:S41" si="87">R36/P36</f>
        <v>0</v>
      </c>
      <c r="T36" s="39">
        <f t="shared" ref="T36:T40" si="88">U36*$H36</f>
        <v>638.26620672499996</v>
      </c>
      <c r="U36" s="40">
        <f t="shared" ref="U36:U41" si="89">$U$6</f>
        <v>0.155</v>
      </c>
      <c r="V36" s="35">
        <f>VLOOKUP($B36,REPORTE!$A$3:$AV$200,48,FALSE)/1000000</f>
        <v>0</v>
      </c>
      <c r="W36" s="36">
        <f t="shared" ref="W36:W40" si="90">IF(H36=0,"",IF(H36="","",V36/$H36))</f>
        <v>0</v>
      </c>
      <c r="X36" s="127">
        <f t="shared" ref="X36:X41" si="91">W36/U36</f>
        <v>0</v>
      </c>
      <c r="Y36" s="41"/>
      <c r="Z36" s="35">
        <f>VLOOKUP($B36,REPORTE!$A$3:$AV$200,45,FALSE)/1000000</f>
        <v>0</v>
      </c>
      <c r="AA36" s="36">
        <f t="shared" ref="AA36:AA40" si="92">IF(F36=0,"",IF(F36="","",Z36/$F36))</f>
        <v>0</v>
      </c>
      <c r="AB36" s="60">
        <f t="shared" ref="AB36:AB41" si="93">AA36/$J36</f>
        <v>0</v>
      </c>
      <c r="AC36" s="35">
        <f>F36-Z36</f>
        <v>4117.8464949999998</v>
      </c>
      <c r="AD36" s="35">
        <f>VLOOKUP($B36,REPORTE!$A$3:$AV$200,47,FALSE)/1000000</f>
        <v>0</v>
      </c>
      <c r="AE36" s="36">
        <f t="shared" ref="AE36:AE40" si="94">IF(F36=0,"",IF(F36="","",AD36/$F36))</f>
        <v>0</v>
      </c>
      <c r="AF36" s="127">
        <f t="shared" ref="AF36:AF41" si="95">AE36/P36</f>
        <v>0</v>
      </c>
      <c r="AH36" s="111">
        <f>J36*$F36</f>
        <v>1441.391876038311</v>
      </c>
      <c r="AI36" s="111">
        <f>P36*$F36</f>
        <v>667.153010160843</v>
      </c>
      <c r="AJ36" s="111">
        <f>U36*$F36</f>
        <v>638.26620672499996</v>
      </c>
    </row>
    <row r="37" spans="1:40" ht="24" customHeight="1">
      <c r="A37" s="38" t="s">
        <v>237</v>
      </c>
      <c r="B37" s="34" t="s">
        <v>253</v>
      </c>
      <c r="C37" s="35">
        <f>VLOOKUP(B37,REPORTE!$A$3:$AV$200,39,FALSE)/1000000</f>
        <v>109.11430300000001</v>
      </c>
      <c r="D37" s="35">
        <f>VLOOKUP(B37,REPORTE!$A$3:$AV$200,40,FALSE)/1000000</f>
        <v>0</v>
      </c>
      <c r="E37" s="35">
        <f>VLOOKUP(B37,REPORTE!$A$3:$AV$200,41,FALSE)/1000000</f>
        <v>0</v>
      </c>
      <c r="F37" s="35">
        <f>VLOOKUP(B37,REPORTE!$A$3:$AV$200,42,FALSE)/1000000</f>
        <v>109.11430300000001</v>
      </c>
      <c r="G37" s="35">
        <f>(VLOOKUP(B37,REPORTE!$A$3:$AV$200,43,FALSE)/1000000)</f>
        <v>0</v>
      </c>
      <c r="H37" s="35">
        <f t="shared" ref="H37:H40" si="96">F37-G37</f>
        <v>109.11430300000001</v>
      </c>
      <c r="I37" s="35">
        <f t="shared" si="79"/>
        <v>38.193864218773584</v>
      </c>
      <c r="J37" s="36">
        <f t="shared" si="80"/>
        <v>0.3500353589645675</v>
      </c>
      <c r="K37" s="35">
        <f>VLOOKUP($B37,REPORTE!$A$3:$AV$200,45,FALSE)/1000000</f>
        <v>0</v>
      </c>
      <c r="L37" s="36">
        <f t="shared" si="81"/>
        <v>0</v>
      </c>
      <c r="M37" s="60">
        <f t="shared" si="82"/>
        <v>0</v>
      </c>
      <c r="N37" s="35">
        <f t="shared" si="83"/>
        <v>109.11430300000001</v>
      </c>
      <c r="O37" s="35">
        <f t="shared" si="84"/>
        <v>17.678156722559496</v>
      </c>
      <c r="P37" s="36">
        <f t="shared" si="85"/>
        <v>0.1620150267793902</v>
      </c>
      <c r="Q37" s="35">
        <f>VLOOKUP($B37,REPORTE!$A$3:$AV$200,47,FALSE)/1000000</f>
        <v>0</v>
      </c>
      <c r="R37" s="36">
        <f t="shared" si="86"/>
        <v>0</v>
      </c>
      <c r="S37" s="60">
        <f t="shared" si="87"/>
        <v>0</v>
      </c>
      <c r="T37" s="35">
        <f t="shared" si="88"/>
        <v>16.912716965000001</v>
      </c>
      <c r="U37" s="40">
        <f t="shared" si="89"/>
        <v>0.155</v>
      </c>
      <c r="V37" s="35">
        <f>VLOOKUP($B37,REPORTE!$A$3:$AV$200,48,FALSE)/1000000</f>
        <v>0</v>
      </c>
      <c r="W37" s="36">
        <f t="shared" si="90"/>
        <v>0</v>
      </c>
      <c r="X37" s="127">
        <f t="shared" si="91"/>
        <v>0</v>
      </c>
      <c r="Y37" s="41"/>
      <c r="Z37" s="35">
        <f>VLOOKUP($B37,REPORTE!$A$3:$AV$200,45,FALSE)/1000000</f>
        <v>0</v>
      </c>
      <c r="AA37" s="36">
        <f t="shared" si="92"/>
        <v>0</v>
      </c>
      <c r="AB37" s="60">
        <f t="shared" si="93"/>
        <v>0</v>
      </c>
      <c r="AC37" s="35">
        <f t="shared" ref="AC37:AC40" si="97">F37-Z37</f>
        <v>109.11430300000001</v>
      </c>
      <c r="AD37" s="35">
        <f>VLOOKUP($B37,REPORTE!$A$3:$AV$200,47,FALSE)/1000000</f>
        <v>0</v>
      </c>
      <c r="AE37" s="36">
        <f t="shared" si="94"/>
        <v>0</v>
      </c>
      <c r="AF37" s="127">
        <f t="shared" si="95"/>
        <v>0</v>
      </c>
      <c r="AH37" s="111">
        <f t="shared" ref="AH37:AH39" si="98">J37*$F37</f>
        <v>38.193864218773584</v>
      </c>
      <c r="AI37" s="111">
        <f t="shared" ref="AI37:AI39" si="99">P37*$F37</f>
        <v>17.678156722559496</v>
      </c>
      <c r="AJ37" s="111">
        <f t="shared" ref="AJ37:AJ41" si="100">U37*$F37</f>
        <v>16.912716965000001</v>
      </c>
    </row>
    <row r="38" spans="1:40" ht="24" customHeight="1">
      <c r="A38" s="38" t="s">
        <v>7</v>
      </c>
      <c r="B38" s="34" t="s">
        <v>248</v>
      </c>
      <c r="C38" s="35">
        <f>VLOOKUP(B38,REPORTE!$A$3:$AV$200,39,FALSE)/1000000</f>
        <v>1319.4136120000001</v>
      </c>
      <c r="D38" s="35">
        <f>VLOOKUP(B38,REPORTE!$A$3:$AV$200,40,FALSE)/1000000</f>
        <v>0</v>
      </c>
      <c r="E38" s="35">
        <f>VLOOKUP(B38,REPORTE!$A$3:$AV$200,41,FALSE)/1000000</f>
        <v>0</v>
      </c>
      <c r="F38" s="35">
        <f>VLOOKUP(B38,REPORTE!$A$3:$AV$200,42,FALSE)/1000000</f>
        <v>1319.4136120000001</v>
      </c>
      <c r="G38" s="35">
        <f>(VLOOKUP(B38,REPORTE!$A$3:$AV$200,43,FALSE)/1000000)</f>
        <v>0</v>
      </c>
      <c r="H38" s="35">
        <f t="shared" ref="H38" si="101">F38-G38</f>
        <v>1319.4136120000001</v>
      </c>
      <c r="I38" s="35">
        <f t="shared" ref="I38" si="102">J38*$H38</f>
        <v>461.8414172991566</v>
      </c>
      <c r="J38" s="36">
        <f t="shared" si="80"/>
        <v>0.3500353589645675</v>
      </c>
      <c r="K38" s="35">
        <f>VLOOKUP($B38,REPORTE!$A$3:$AV$200,45,FALSE)/1000000</f>
        <v>0</v>
      </c>
      <c r="L38" s="36">
        <f t="shared" ref="L38" si="103">IF(H38=0,"",IF(H38="","",K38/$H38))</f>
        <v>0</v>
      </c>
      <c r="M38" s="60">
        <f t="shared" ref="M38" si="104">L38/J38</f>
        <v>0</v>
      </c>
      <c r="N38" s="35">
        <f t="shared" ref="N38" si="105">H38-K38</f>
        <v>1319.4136120000001</v>
      </c>
      <c r="O38" s="35">
        <f t="shared" ref="O38" si="106">P38*$H38</f>
        <v>213.76483168127197</v>
      </c>
      <c r="P38" s="36">
        <f t="shared" si="85"/>
        <v>0.1620150267793902</v>
      </c>
      <c r="Q38" s="35">
        <f>VLOOKUP($B38,REPORTE!$A$3:$AV$200,47,FALSE)/1000000</f>
        <v>0</v>
      </c>
      <c r="R38" s="36">
        <f t="shared" ref="R38" si="107">IF(H38=0,"",IF(H38="","",Q38/$H38))</f>
        <v>0</v>
      </c>
      <c r="S38" s="60">
        <f t="shared" ref="S38" si="108">R38/P38</f>
        <v>0</v>
      </c>
      <c r="T38" s="35">
        <f t="shared" ref="T38" si="109">U38*$H38</f>
        <v>204.50910986</v>
      </c>
      <c r="U38" s="40">
        <f t="shared" si="89"/>
        <v>0.155</v>
      </c>
      <c r="V38" s="35">
        <f>VLOOKUP($B38,REPORTE!$A$3:$AV$200,48,FALSE)/1000000</f>
        <v>0</v>
      </c>
      <c r="W38" s="36">
        <f t="shared" ref="W38" si="110">IF(H38=0,"",IF(H38="","",V38/$H38))</f>
        <v>0</v>
      </c>
      <c r="X38" s="127">
        <f t="shared" ref="X38" si="111">W38/U38</f>
        <v>0</v>
      </c>
      <c r="Y38" s="41"/>
      <c r="Z38" s="35">
        <f>VLOOKUP($B38,REPORTE!$A$3:$AV$200,45,FALSE)/1000000</f>
        <v>0</v>
      </c>
      <c r="AA38" s="36">
        <f t="shared" ref="AA38" si="112">IF(F38=0,"",IF(F38="","",Z38/$F38))</f>
        <v>0</v>
      </c>
      <c r="AB38" s="60">
        <f t="shared" ref="AB38" si="113">AA38/$J38</f>
        <v>0</v>
      </c>
      <c r="AC38" s="35">
        <f t="shared" ref="AC38" si="114">F38-Z38</f>
        <v>1319.4136120000001</v>
      </c>
      <c r="AD38" s="35">
        <f>VLOOKUP($B38,REPORTE!$A$3:$AV$200,47,FALSE)/1000000</f>
        <v>0</v>
      </c>
      <c r="AE38" s="36">
        <f t="shared" ref="AE38" si="115">IF(F38=0,"",IF(F38="","",AD38/$F38))</f>
        <v>0</v>
      </c>
      <c r="AF38" s="127">
        <f t="shared" ref="AF38" si="116">AE38/P38</f>
        <v>0</v>
      </c>
      <c r="AH38" s="111">
        <f t="shared" ref="AH38" si="117">J38*$F38</f>
        <v>461.8414172991566</v>
      </c>
      <c r="AI38" s="111">
        <f t="shared" ref="AI38" si="118">P38*$F38</f>
        <v>213.76483168127197</v>
      </c>
      <c r="AJ38" s="111">
        <f t="shared" ref="AJ38" si="119">U38*$F38</f>
        <v>204.50910986</v>
      </c>
    </row>
    <row r="39" spans="1:40" ht="24" customHeight="1">
      <c r="A39" s="38" t="s">
        <v>8</v>
      </c>
      <c r="B39" s="34" t="s">
        <v>251</v>
      </c>
      <c r="C39" s="35">
        <f>VLOOKUP(B39,REPORTE!$A$3:$AV$200,39,FALSE)/1000000</f>
        <v>131.74877900000001</v>
      </c>
      <c r="D39" s="35">
        <f>VLOOKUP(B39,REPORTE!$A$3:$AV$200,40,FALSE)/1000000</f>
        <v>0</v>
      </c>
      <c r="E39" s="35">
        <f>VLOOKUP(B39,REPORTE!$A$3:$AV$200,41,FALSE)/1000000</f>
        <v>0</v>
      </c>
      <c r="F39" s="35">
        <f>VLOOKUP(B39,REPORTE!$A$3:$AV$200,42,FALSE)/1000000</f>
        <v>131.74877900000001</v>
      </c>
      <c r="G39" s="35">
        <f>(VLOOKUP(B39,REPORTE!$A$3:$AV$200,43,FALSE)/1000000)</f>
        <v>0</v>
      </c>
      <c r="H39" s="35">
        <f t="shared" si="96"/>
        <v>131.74877900000001</v>
      </c>
      <c r="I39" s="35">
        <f t="shared" si="79"/>
        <v>46.116731150408476</v>
      </c>
      <c r="J39" s="36">
        <f t="shared" si="80"/>
        <v>0.3500353589645675</v>
      </c>
      <c r="K39" s="35">
        <f>VLOOKUP($B39,REPORTE!$A$3:$AV$200,45,FALSE)/1000000</f>
        <v>0</v>
      </c>
      <c r="L39" s="36">
        <f t="shared" si="81"/>
        <v>0</v>
      </c>
      <c r="M39" s="60">
        <f t="shared" si="82"/>
        <v>0</v>
      </c>
      <c r="N39" s="35">
        <f t="shared" si="83"/>
        <v>131.74877900000001</v>
      </c>
      <c r="O39" s="35">
        <f t="shared" si="84"/>
        <v>21.345281957836963</v>
      </c>
      <c r="P39" s="36">
        <f t="shared" si="85"/>
        <v>0.1620150267793902</v>
      </c>
      <c r="Q39" s="35">
        <f>VLOOKUP($B39,REPORTE!$A$3:$AV$200,47,FALSE)/1000000</f>
        <v>0</v>
      </c>
      <c r="R39" s="36">
        <f t="shared" si="86"/>
        <v>0</v>
      </c>
      <c r="S39" s="60">
        <f t="shared" si="87"/>
        <v>0</v>
      </c>
      <c r="T39" s="35">
        <f t="shared" si="88"/>
        <v>20.421060745000002</v>
      </c>
      <c r="U39" s="40">
        <f t="shared" si="89"/>
        <v>0.155</v>
      </c>
      <c r="V39" s="35">
        <f>VLOOKUP($B39,REPORTE!$A$3:$AV$200,48,FALSE)/1000000</f>
        <v>0</v>
      </c>
      <c r="W39" s="36">
        <f t="shared" si="90"/>
        <v>0</v>
      </c>
      <c r="X39" s="127">
        <f t="shared" si="91"/>
        <v>0</v>
      </c>
      <c r="Y39" s="41"/>
      <c r="Z39" s="35">
        <f>VLOOKUP($B39,REPORTE!$A$3:$AV$200,45,FALSE)/1000000</f>
        <v>0</v>
      </c>
      <c r="AA39" s="36">
        <f t="shared" si="92"/>
        <v>0</v>
      </c>
      <c r="AB39" s="60">
        <f t="shared" si="93"/>
        <v>0</v>
      </c>
      <c r="AC39" s="35">
        <f t="shared" si="97"/>
        <v>131.74877900000001</v>
      </c>
      <c r="AD39" s="35">
        <f>VLOOKUP($B39,REPORTE!$A$3:$AV$200,47,FALSE)/1000000</f>
        <v>0</v>
      </c>
      <c r="AE39" s="36">
        <f t="shared" si="94"/>
        <v>0</v>
      </c>
      <c r="AF39" s="127">
        <f t="shared" si="95"/>
        <v>0</v>
      </c>
      <c r="AH39" s="111">
        <f t="shared" si="98"/>
        <v>46.116731150408476</v>
      </c>
      <c r="AI39" s="111">
        <f t="shared" si="99"/>
        <v>21.345281957836963</v>
      </c>
      <c r="AJ39" s="111">
        <f t="shared" si="100"/>
        <v>20.421060745000002</v>
      </c>
    </row>
    <row r="40" spans="1:40" ht="24" customHeight="1">
      <c r="A40" s="38" t="s">
        <v>256</v>
      </c>
      <c r="B40" s="34" t="s">
        <v>249</v>
      </c>
      <c r="C40" s="35">
        <f>VLOOKUP(B40,REPORTE!$A$3:$AV$200,39,FALSE)/1000000</f>
        <v>22180.405443</v>
      </c>
      <c r="D40" s="35">
        <f>VLOOKUP(B40,REPORTE!$A$3:$AV$200,40,FALSE)/1000000</f>
        <v>0</v>
      </c>
      <c r="E40" s="35">
        <f>VLOOKUP(B40,REPORTE!$A$3:$AV$200,41,FALSE)/1000000</f>
        <v>0</v>
      </c>
      <c r="F40" s="35">
        <f>VLOOKUP(B40,REPORTE!$A$3:$AV$200,42,FALSE)/1000000</f>
        <v>22180.405443</v>
      </c>
      <c r="G40" s="35">
        <f>(VLOOKUP(B40,REPORTE!$A$3:$AV$200,43,FALSE)/1000000)</f>
        <v>0</v>
      </c>
      <c r="H40" s="35">
        <f t="shared" si="96"/>
        <v>22180.405443</v>
      </c>
      <c r="I40" s="35">
        <f t="shared" si="79"/>
        <v>7763.9261812201521</v>
      </c>
      <c r="J40" s="36">
        <f t="shared" si="80"/>
        <v>0.3500353589645675</v>
      </c>
      <c r="K40" s="35">
        <f>VLOOKUP($B40,REPORTE!$A$3:$AV$200,45,FALSE)/1000000</f>
        <v>0</v>
      </c>
      <c r="L40" s="36">
        <f t="shared" si="81"/>
        <v>0</v>
      </c>
      <c r="M40" s="60">
        <f t="shared" si="82"/>
        <v>0</v>
      </c>
      <c r="N40" s="35">
        <f t="shared" si="83"/>
        <v>22180.405443</v>
      </c>
      <c r="O40" s="35">
        <f t="shared" si="84"/>
        <v>3593.558981825377</v>
      </c>
      <c r="P40" s="36">
        <f t="shared" si="85"/>
        <v>0.1620150267793902</v>
      </c>
      <c r="Q40" s="35">
        <f>VLOOKUP($B40,REPORTE!$A$3:$AV$200,47,FALSE)/1000000</f>
        <v>0</v>
      </c>
      <c r="R40" s="36">
        <f t="shared" si="86"/>
        <v>0</v>
      </c>
      <c r="S40" s="60">
        <f t="shared" si="87"/>
        <v>0</v>
      </c>
      <c r="T40" s="35">
        <f t="shared" si="88"/>
        <v>3437.962843665</v>
      </c>
      <c r="U40" s="40">
        <f t="shared" si="89"/>
        <v>0.155</v>
      </c>
      <c r="V40" s="35">
        <f>VLOOKUP($B40,REPORTE!$A$3:$AV$200,48,FALSE)/1000000</f>
        <v>0</v>
      </c>
      <c r="W40" s="36">
        <f t="shared" si="90"/>
        <v>0</v>
      </c>
      <c r="X40" s="127">
        <f t="shared" si="91"/>
        <v>0</v>
      </c>
      <c r="Y40" s="41"/>
      <c r="Z40" s="35">
        <f>VLOOKUP($B40,REPORTE!$A$3:$AV$200,45,FALSE)/1000000</f>
        <v>0</v>
      </c>
      <c r="AA40" s="36">
        <f t="shared" si="92"/>
        <v>0</v>
      </c>
      <c r="AB40" s="60">
        <f t="shared" si="93"/>
        <v>0</v>
      </c>
      <c r="AC40" s="35">
        <f t="shared" si="97"/>
        <v>22180.405443</v>
      </c>
      <c r="AD40" s="35">
        <f>VLOOKUP($B40,REPORTE!$A$3:$AV$200,47,FALSE)/1000000</f>
        <v>0</v>
      </c>
      <c r="AE40" s="36">
        <f t="shared" si="94"/>
        <v>0</v>
      </c>
      <c r="AF40" s="127">
        <f t="shared" si="95"/>
        <v>0</v>
      </c>
      <c r="AH40" s="111">
        <f t="shared" ref="AH40:AH41" si="120">J40*$F40</f>
        <v>7763.9261812201521</v>
      </c>
      <c r="AI40" s="111">
        <f t="shared" ref="AI40:AI41" si="121">P40*$F40</f>
        <v>3593.558981825377</v>
      </c>
      <c r="AJ40" s="111">
        <f t="shared" si="100"/>
        <v>3437.962843665</v>
      </c>
    </row>
    <row r="41" spans="1:40">
      <c r="A41" s="290" t="s">
        <v>245</v>
      </c>
      <c r="B41" s="291"/>
      <c r="C41" s="260">
        <f t="shared" ref="C41:H41" si="122">SUM(C36:C40)</f>
        <v>27858.528632000001</v>
      </c>
      <c r="D41" s="260">
        <f t="shared" si="122"/>
        <v>0</v>
      </c>
      <c r="E41" s="260">
        <f t="shared" si="122"/>
        <v>0</v>
      </c>
      <c r="F41" s="260">
        <f t="shared" si="122"/>
        <v>27858.528632000001</v>
      </c>
      <c r="G41" s="260">
        <f t="shared" si="122"/>
        <v>0</v>
      </c>
      <c r="H41" s="260">
        <f t="shared" si="122"/>
        <v>27858.528632000001</v>
      </c>
      <c r="I41" s="260">
        <f t="shared" si="79"/>
        <v>9751.4700699268014</v>
      </c>
      <c r="J41" s="261">
        <f t="shared" si="80"/>
        <v>0.3500353589645675</v>
      </c>
      <c r="K41" s="260">
        <f>SUM(K36:K40)</f>
        <v>0</v>
      </c>
      <c r="L41" s="261">
        <f t="shared" ref="L41" si="123">K41/$H41</f>
        <v>0</v>
      </c>
      <c r="M41" s="262">
        <f t="shared" si="82"/>
        <v>0</v>
      </c>
      <c r="N41" s="260">
        <f>SUM(N36:N40)</f>
        <v>27858.528632000001</v>
      </c>
      <c r="O41" s="260">
        <f>SUM(O36:O40)</f>
        <v>4513.5002623478886</v>
      </c>
      <c r="P41" s="261">
        <f t="shared" si="85"/>
        <v>0.1620150267793902</v>
      </c>
      <c r="Q41" s="260">
        <f>SUM(Q36:Q40)</f>
        <v>0</v>
      </c>
      <c r="R41" s="261">
        <f t="shared" ref="R41" si="124">Q41/$H41</f>
        <v>0</v>
      </c>
      <c r="S41" s="262">
        <f t="shared" si="87"/>
        <v>0</v>
      </c>
      <c r="T41" s="260">
        <f>SUM(T36:T40)</f>
        <v>4318.0719379599996</v>
      </c>
      <c r="U41" s="263">
        <f t="shared" si="89"/>
        <v>0.155</v>
      </c>
      <c r="V41" s="260">
        <f>SUM(V36:V40)</f>
        <v>0</v>
      </c>
      <c r="W41" s="261">
        <f t="shared" ref="W41" si="125">V41/$H41</f>
        <v>0</v>
      </c>
      <c r="X41" s="264">
        <f t="shared" si="91"/>
        <v>0</v>
      </c>
      <c r="Y41" s="272"/>
      <c r="Z41" s="260">
        <f>SUM(Z36:Z40)</f>
        <v>0</v>
      </c>
      <c r="AA41" s="261">
        <f>Z41/$F41</f>
        <v>0</v>
      </c>
      <c r="AB41" s="262">
        <f t="shared" si="93"/>
        <v>0</v>
      </c>
      <c r="AC41" s="260">
        <f>SUM(AC36:AC40)</f>
        <v>27858.528632000001</v>
      </c>
      <c r="AD41" s="260">
        <f>SUM(AD36:AD40)</f>
        <v>0</v>
      </c>
      <c r="AE41" s="261">
        <f>AD41/$F41</f>
        <v>0</v>
      </c>
      <c r="AF41" s="264">
        <f t="shared" si="95"/>
        <v>0</v>
      </c>
      <c r="AG41" s="271"/>
      <c r="AH41" s="260">
        <f t="shared" si="120"/>
        <v>9751.4700699268014</v>
      </c>
      <c r="AI41" s="260">
        <f t="shared" si="121"/>
        <v>4513.5002623478886</v>
      </c>
      <c r="AJ41" s="260">
        <f t="shared" si="100"/>
        <v>4318.0719379600005</v>
      </c>
    </row>
    <row r="42" spans="1:40">
      <c r="A42" s="275"/>
      <c r="B42" s="276"/>
      <c r="C42" s="277"/>
      <c r="D42" s="277"/>
      <c r="E42" s="277"/>
      <c r="F42" s="277"/>
      <c r="G42" s="277"/>
      <c r="H42" s="277"/>
      <c r="I42" s="277"/>
      <c r="J42" s="278"/>
      <c r="K42" s="277"/>
      <c r="L42" s="278"/>
      <c r="M42" s="279"/>
      <c r="N42" s="277"/>
      <c r="O42" s="277"/>
      <c r="P42" s="278"/>
      <c r="Q42" s="277"/>
      <c r="R42" s="278"/>
      <c r="S42" s="279"/>
      <c r="T42" s="277"/>
      <c r="U42" s="280"/>
      <c r="V42" s="277"/>
      <c r="W42" s="278"/>
      <c r="X42" s="279"/>
      <c r="Y42" s="265"/>
      <c r="Z42" s="277"/>
      <c r="AA42" s="278"/>
      <c r="AB42" s="279"/>
      <c r="AC42" s="277"/>
      <c r="AD42" s="277"/>
      <c r="AE42" s="278"/>
      <c r="AF42" s="281"/>
    </row>
    <row r="43" spans="1:40" ht="32.25" customHeight="1" thickBot="1">
      <c r="A43" s="321" t="s">
        <v>282</v>
      </c>
      <c r="B43" s="322"/>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3"/>
    </row>
    <row r="44" spans="1:40" ht="6" customHeight="1" thickTop="1" thickBot="1"/>
    <row r="45" spans="1:40" ht="65.25" customHeight="1" thickTop="1">
      <c r="A45" s="325" t="s">
        <v>537</v>
      </c>
      <c r="B45" s="326"/>
      <c r="C45" s="326"/>
      <c r="D45" s="326"/>
      <c r="E45" s="326"/>
      <c r="F45" s="326"/>
      <c r="G45" s="326"/>
      <c r="H45" s="326"/>
      <c r="I45" s="326"/>
      <c r="J45" s="326"/>
      <c r="K45" s="326"/>
      <c r="L45" s="326"/>
      <c r="M45" s="326"/>
      <c r="N45" s="326"/>
      <c r="O45" s="326"/>
      <c r="P45" s="326"/>
      <c r="Q45" s="326"/>
      <c r="R45" s="326"/>
      <c r="S45" s="326"/>
      <c r="T45" s="326"/>
      <c r="U45" s="326"/>
      <c r="V45" s="326"/>
      <c r="W45" s="326"/>
      <c r="X45" s="326"/>
      <c r="Y45" s="326"/>
      <c r="Z45" s="326"/>
      <c r="AA45" s="326"/>
      <c r="AB45" s="326"/>
      <c r="AC45" s="326"/>
      <c r="AD45" s="326"/>
      <c r="AE45" s="326"/>
      <c r="AF45" s="327"/>
    </row>
    <row r="46" spans="1:40" ht="15" customHeight="1">
      <c r="A46" s="120"/>
      <c r="B46" s="121"/>
      <c r="C46" s="121"/>
      <c r="D46" s="121"/>
      <c r="E46" s="121"/>
      <c r="F46" s="121"/>
      <c r="G46" s="121"/>
      <c r="H46" s="121"/>
      <c r="I46" s="121"/>
      <c r="J46" s="122"/>
      <c r="K46" s="121"/>
      <c r="L46" s="121"/>
      <c r="M46" s="123"/>
      <c r="N46" s="121"/>
      <c r="O46" s="333" t="s">
        <v>283</v>
      </c>
      <c r="P46" s="333"/>
      <c r="Q46" s="317">
        <f>$C$3</f>
        <v>45026</v>
      </c>
      <c r="R46" s="317"/>
      <c r="S46" s="317"/>
      <c r="T46" s="333"/>
      <c r="U46" s="333"/>
      <c r="V46" s="335"/>
      <c r="W46" s="335"/>
      <c r="X46" s="335"/>
      <c r="Y46" s="124"/>
      <c r="Z46" s="121"/>
      <c r="AA46" s="121"/>
      <c r="AB46" s="123"/>
      <c r="AC46" s="123"/>
      <c r="AD46" s="124"/>
      <c r="AE46" s="124"/>
      <c r="AF46" s="125"/>
      <c r="AH46" s="138"/>
      <c r="AI46" s="138"/>
      <c r="AJ46" s="138"/>
      <c r="AK46" s="138"/>
      <c r="AL46" s="138"/>
      <c r="AM46" s="138"/>
      <c r="AN46" s="138"/>
    </row>
    <row r="47" spans="1:40" ht="26.25" customHeight="1">
      <c r="A47" s="292" t="s">
        <v>442</v>
      </c>
      <c r="B47" s="293"/>
      <c r="C47" s="293"/>
      <c r="D47" s="293"/>
      <c r="E47" s="293"/>
      <c r="F47" s="293"/>
      <c r="G47" s="293"/>
      <c r="H47" s="293"/>
      <c r="I47" s="294" t="s">
        <v>2</v>
      </c>
      <c r="J47" s="295"/>
      <c r="K47" s="295"/>
      <c r="L47" s="295"/>
      <c r="M47" s="295"/>
      <c r="N47" s="296" t="s">
        <v>367</v>
      </c>
      <c r="O47" s="298" t="s">
        <v>3</v>
      </c>
      <c r="P47" s="299"/>
      <c r="Q47" s="299"/>
      <c r="R47" s="299"/>
      <c r="S47" s="300"/>
      <c r="T47" s="301" t="s">
        <v>113</v>
      </c>
      <c r="U47" s="301"/>
      <c r="V47" s="301"/>
      <c r="W47" s="301"/>
      <c r="X47" s="302"/>
      <c r="Z47" s="299" t="s">
        <v>2</v>
      </c>
      <c r="AA47" s="299"/>
      <c r="AB47" s="300"/>
      <c r="AC47" s="296" t="s">
        <v>367</v>
      </c>
      <c r="AD47" s="299" t="s">
        <v>3</v>
      </c>
      <c r="AE47" s="299"/>
      <c r="AF47" s="308"/>
      <c r="AH47" s="319" t="s">
        <v>387</v>
      </c>
      <c r="AI47" s="320"/>
      <c r="AJ47" s="320"/>
    </row>
    <row r="48" spans="1:40" ht="33" customHeight="1">
      <c r="A48" s="256" t="s">
        <v>0</v>
      </c>
      <c r="B48" s="257" t="s">
        <v>243</v>
      </c>
      <c r="C48" s="255" t="s">
        <v>361</v>
      </c>
      <c r="D48" s="257" t="s">
        <v>355</v>
      </c>
      <c r="E48" s="257" t="s">
        <v>356</v>
      </c>
      <c r="F48" s="255" t="s">
        <v>1</v>
      </c>
      <c r="G48" s="255" t="s">
        <v>362</v>
      </c>
      <c r="H48" s="255" t="s">
        <v>358</v>
      </c>
      <c r="I48" s="255" t="s">
        <v>257</v>
      </c>
      <c r="J48" s="266" t="s">
        <v>4</v>
      </c>
      <c r="K48" s="255" t="s">
        <v>5</v>
      </c>
      <c r="L48" s="303" t="s">
        <v>4</v>
      </c>
      <c r="M48" s="304"/>
      <c r="N48" s="297"/>
      <c r="O48" s="255" t="str">
        <f>I48</f>
        <v>Meta</v>
      </c>
      <c r="P48" s="266" t="s">
        <v>4</v>
      </c>
      <c r="Q48" s="255" t="s">
        <v>5</v>
      </c>
      <c r="R48" s="303" t="s">
        <v>4</v>
      </c>
      <c r="S48" s="304"/>
      <c r="T48" s="255" t="str">
        <f>O48</f>
        <v>Meta</v>
      </c>
      <c r="U48" s="255" t="s">
        <v>4</v>
      </c>
      <c r="V48" s="255" t="s">
        <v>5</v>
      </c>
      <c r="W48" s="303" t="s">
        <v>4</v>
      </c>
      <c r="X48" s="305"/>
      <c r="Z48" s="255" t="s">
        <v>5</v>
      </c>
      <c r="AA48" s="303" t="s">
        <v>4</v>
      </c>
      <c r="AB48" s="304"/>
      <c r="AC48" s="297"/>
      <c r="AD48" s="255" t="s">
        <v>5</v>
      </c>
      <c r="AE48" s="303" t="s">
        <v>4</v>
      </c>
      <c r="AF48" s="309"/>
      <c r="AH48" s="267" t="s">
        <v>2</v>
      </c>
      <c r="AI48" s="267" t="s">
        <v>3</v>
      </c>
      <c r="AJ48" s="267" t="s">
        <v>113</v>
      </c>
    </row>
    <row r="49" spans="1:39" s="41" customFormat="1" ht="25.5" customHeight="1">
      <c r="A49" s="109" t="s">
        <v>6</v>
      </c>
      <c r="B49" s="110" t="s">
        <v>258</v>
      </c>
      <c r="C49" s="111">
        <f>C77+VLOOKUP($A49,$A$63:$AF$71,3,FALSE)+C36</f>
        <v>208371.43344300002</v>
      </c>
      <c r="D49" s="111">
        <f>D77+VLOOKUP($A49,$A$63:$AF$71,4,FALSE)+D36</f>
        <v>0</v>
      </c>
      <c r="E49" s="111">
        <f>E77+VLOOKUP($A49,$A$63:$AF$71,5,FALSE)+E36</f>
        <v>0</v>
      </c>
      <c r="F49" s="288">
        <f>F77+VLOOKUP($A49,$A$63:$AF$71,6,FALSE)+F36</f>
        <v>208371.43344300002</v>
      </c>
      <c r="G49" s="111">
        <f>G77+VLOOKUP($A49,$A$63:$AF$71,7,FALSE)+G36</f>
        <v>0</v>
      </c>
      <c r="H49" s="111">
        <f>F49-G49</f>
        <v>208371.43344300002</v>
      </c>
      <c r="I49" s="111">
        <f t="shared" ref="I49:I59" si="126">J49*$H49</f>
        <v>72937.369503181995</v>
      </c>
      <c r="J49" s="112">
        <f t="shared" ref="J49:J59" si="127">$J$6</f>
        <v>0.3500353589645675</v>
      </c>
      <c r="K49" s="111">
        <f>K77+VLOOKUP($A49,$A$63:$AF$71,11,FALSE)+K36</f>
        <v>62272.063168929999</v>
      </c>
      <c r="L49" s="112">
        <f>IF(H49=0,"",IF(H49="","",K49/$H49))</f>
        <v>0.29885124913710648</v>
      </c>
      <c r="M49" s="113">
        <f t="shared" ref="M49:M59" si="128">L49/J49</f>
        <v>0.85377445873220437</v>
      </c>
      <c r="N49" s="111">
        <f t="shared" ref="N49:N56" si="129">H49-K49</f>
        <v>146099.37027407001</v>
      </c>
      <c r="O49" s="111">
        <f t="shared" ref="O49:O57" si="130">P49*$H49</f>
        <v>33759.303369327572</v>
      </c>
      <c r="P49" s="112">
        <f t="shared" ref="P49:P59" si="131">$P$6</f>
        <v>0.1620150267793902</v>
      </c>
      <c r="Q49" s="111">
        <f>Q77+VLOOKUP($A49,$A$63:$AF$71,17,FALSE)+Q36</f>
        <v>14943.288900299998</v>
      </c>
      <c r="R49" s="112">
        <f t="shared" ref="R49:R58" si="132">IF(H49=0,"",IF(H49="","",Q49/$H49))</f>
        <v>7.1714671504564634E-2</v>
      </c>
      <c r="S49" s="113">
        <f t="shared" ref="S49:S59" si="133">R49/P49</f>
        <v>0.44264209888515971</v>
      </c>
      <c r="T49" s="111">
        <f t="shared" ref="T49:T57" si="134">U49*$H49</f>
        <v>32297.572183665001</v>
      </c>
      <c r="U49" s="114">
        <f>$U$6</f>
        <v>0.155</v>
      </c>
      <c r="V49" s="111">
        <f>V63+V77+V36</f>
        <v>14548.546094049998</v>
      </c>
      <c r="W49" s="112">
        <f t="shared" ref="W49:W58" si="135">IF(H49=0,"",IF(H49="","",V49/$H49))</f>
        <v>6.9820252486911802E-2</v>
      </c>
      <c r="X49" s="113">
        <f t="shared" ref="X49:X59" si="136">W49/U49</f>
        <v>0.45045324185104391</v>
      </c>
      <c r="Y49" s="110"/>
      <c r="Z49" s="288">
        <f>Z77+VLOOKUP($A49,$A$63:$AF$71,11,FALSE)+Z36</f>
        <v>62272.063168929999</v>
      </c>
      <c r="AA49" s="112">
        <f t="shared" ref="AA49:AA58" si="137">IF(F49=0,"",IF(F49="","",Z49/$F49))</f>
        <v>0.29885124913710648</v>
      </c>
      <c r="AB49" s="113">
        <f t="shared" ref="AB49:AB59" si="138">AA49/$J49</f>
        <v>0.85377445873220437</v>
      </c>
      <c r="AC49" s="111">
        <f t="shared" ref="AC49:AC57" si="139">F49-Z49</f>
        <v>146099.37027407001</v>
      </c>
      <c r="AD49" s="111">
        <f>AD77+VLOOKUP($A49,$A$63:$AF$71,17,FALSE)+AD36</f>
        <v>14943.288900299998</v>
      </c>
      <c r="AE49" s="112">
        <f t="shared" ref="AE49:AE58" si="140">IF(F49=0,"",IF(F49="","",AD49/$F49))</f>
        <v>7.1714671504564634E-2</v>
      </c>
      <c r="AF49" s="115">
        <f t="shared" ref="AF49:AF59" si="141">AE49/P49</f>
        <v>0.44264209888515971</v>
      </c>
      <c r="AH49" s="111">
        <f>J49*$F49</f>
        <v>72937.369503181995</v>
      </c>
      <c r="AI49" s="111">
        <f>P49*$F49</f>
        <v>33759.303369327572</v>
      </c>
      <c r="AJ49" s="111">
        <f>U49*$F49</f>
        <v>32297.572183665001</v>
      </c>
    </row>
    <row r="50" spans="1:39" s="41" customFormat="1" ht="25.5" customHeight="1">
      <c r="A50" s="109" t="s">
        <v>17</v>
      </c>
      <c r="B50" s="110" t="s">
        <v>259</v>
      </c>
      <c r="C50" s="111">
        <f t="shared" ref="C50:C55" si="142">VLOOKUP($A50,$A$77:$AF$85,3,FALSE)+VLOOKUP($A50,$A$63:$AF$71,3,FALSE)</f>
        <v>54658.184757999996</v>
      </c>
      <c r="D50" s="111">
        <f t="shared" ref="D50:D55" si="143">VLOOKUP($A50,$A$77:$AF$85,4,FALSE)+VLOOKUP($A50,$A$63:$AF$71,4,FALSE)</f>
        <v>0</v>
      </c>
      <c r="E50" s="111">
        <f t="shared" ref="E50:E57" si="144">VLOOKUP($A50,$A$77:$AF$85,5,FALSE)+VLOOKUP($A50,$A$63:$AF$71,5,FALSE)</f>
        <v>0</v>
      </c>
      <c r="F50" s="111">
        <f t="shared" ref="F50:F57" si="145">VLOOKUP($A50,$A$77:$AF$85,6,FALSE)+VLOOKUP($A50,$A$63:$AF$71,6,FALSE)</f>
        <v>54658.184757999996</v>
      </c>
      <c r="G50" s="111">
        <f t="shared" ref="G50:G57" si="146">VLOOKUP($A50,$A$77:$AF$85,7,FALSE)+VLOOKUP($A50,$A$63:$AF$71,7,FALSE)</f>
        <v>35321.698236999997</v>
      </c>
      <c r="H50" s="111">
        <f t="shared" ref="H50:H57" si="147">F50-G50</f>
        <v>19336.486520999999</v>
      </c>
      <c r="I50" s="111">
        <f t="shared" si="126"/>
        <v>6768.4540004917553</v>
      </c>
      <c r="J50" s="112">
        <f t="shared" si="127"/>
        <v>0.3500353589645675</v>
      </c>
      <c r="K50" s="111">
        <f t="shared" ref="K50:K57" si="148">VLOOKUP($A50,$A$77:$AF$85,11,FALSE)+VLOOKUP($A50,$A$63:$AF$71,11,FALSE)</f>
        <v>0</v>
      </c>
      <c r="L50" s="112">
        <f t="shared" ref="L50:L57" si="149">IF(H50=0,"",IF(H50="","",K50/$H50))</f>
        <v>0</v>
      </c>
      <c r="M50" s="113">
        <f t="shared" si="128"/>
        <v>0</v>
      </c>
      <c r="N50" s="111">
        <f t="shared" si="129"/>
        <v>19336.486520999999</v>
      </c>
      <c r="O50" s="111">
        <f t="shared" si="130"/>
        <v>3132.8013815191325</v>
      </c>
      <c r="P50" s="112">
        <f t="shared" si="131"/>
        <v>0.1620150267793902</v>
      </c>
      <c r="Q50" s="111">
        <f t="shared" ref="Q50:Q57" si="150">VLOOKUP($A50,$A$77:$AF$85,17,FALSE)+VLOOKUP($A50,$A$63:$AF$71,17,FALSE)</f>
        <v>0</v>
      </c>
      <c r="R50" s="112">
        <f t="shared" si="132"/>
        <v>0</v>
      </c>
      <c r="S50" s="113">
        <f t="shared" si="133"/>
        <v>0</v>
      </c>
      <c r="T50" s="111">
        <f t="shared" si="134"/>
        <v>2997.1554107549996</v>
      </c>
      <c r="U50" s="114">
        <f t="shared" ref="U50:U59" si="151">$U$6</f>
        <v>0.155</v>
      </c>
      <c r="V50" s="111">
        <f t="shared" ref="V50:V57" si="152">V64+V78</f>
        <v>0</v>
      </c>
      <c r="W50" s="112">
        <f t="shared" si="135"/>
        <v>0</v>
      </c>
      <c r="X50" s="113">
        <f t="shared" si="136"/>
        <v>0</v>
      </c>
      <c r="Y50" s="110"/>
      <c r="Z50" s="111">
        <f t="shared" ref="Z50:Z57" si="153">VLOOKUP($A50,$A$77:$AF$85,11,FALSE)+VLOOKUP($A50,$A$63:$AF$71,11,FALSE)</f>
        <v>0</v>
      </c>
      <c r="AA50" s="112">
        <f t="shared" si="137"/>
        <v>0</v>
      </c>
      <c r="AB50" s="113">
        <f t="shared" si="138"/>
        <v>0</v>
      </c>
      <c r="AC50" s="111">
        <f t="shared" si="139"/>
        <v>54658.184757999996</v>
      </c>
      <c r="AD50" s="111">
        <f t="shared" ref="AD50:AD55" si="154">VLOOKUP($A50,$A$77:$AF$85,17,FALSE)+VLOOKUP($A50,$A$63:$AF$71,17,FALSE)</f>
        <v>0</v>
      </c>
      <c r="AE50" s="112">
        <f t="shared" si="140"/>
        <v>0</v>
      </c>
      <c r="AF50" s="115">
        <f t="shared" si="141"/>
        <v>0</v>
      </c>
      <c r="AH50" s="111">
        <f t="shared" ref="AH50:AH84" si="155">J50*$F50</f>
        <v>19132.297322118182</v>
      </c>
      <c r="AI50" s="111">
        <f t="shared" ref="AI50:AI84" si="156">P50*$F50</f>
        <v>8855.4472672802258</v>
      </c>
      <c r="AJ50" s="111">
        <f t="shared" ref="AJ50:AJ59" si="157">U50*$F50</f>
        <v>8472.0186374899986</v>
      </c>
    </row>
    <row r="51" spans="1:39" s="41" customFormat="1" ht="25.5" customHeight="1">
      <c r="A51" s="109" t="s">
        <v>260</v>
      </c>
      <c r="B51" s="110" t="s">
        <v>260</v>
      </c>
      <c r="C51" s="111">
        <f>VLOOKUP($A51,$A$77:$AF$85,3,FALSE)+VLOOKUP($A51,$A$63:$AF$71,3,FALSE)</f>
        <v>76287.817921000009</v>
      </c>
      <c r="D51" s="111">
        <f t="shared" si="143"/>
        <v>0</v>
      </c>
      <c r="E51" s="111">
        <f t="shared" si="144"/>
        <v>0</v>
      </c>
      <c r="F51" s="288">
        <f t="shared" si="145"/>
        <v>76287.817921000009</v>
      </c>
      <c r="G51" s="111">
        <f t="shared" si="146"/>
        <v>0</v>
      </c>
      <c r="H51" s="111">
        <f t="shared" si="147"/>
        <v>76287.817921000009</v>
      </c>
      <c r="I51" s="111">
        <f t="shared" si="126"/>
        <v>26703.433730600802</v>
      </c>
      <c r="J51" s="112">
        <f t="shared" si="127"/>
        <v>0.3500353589645675</v>
      </c>
      <c r="K51" s="111">
        <f t="shared" si="148"/>
        <v>76287.817921000009</v>
      </c>
      <c r="L51" s="112">
        <f t="shared" si="149"/>
        <v>1</v>
      </c>
      <c r="M51" s="113">
        <f t="shared" si="128"/>
        <v>2.8568542416916958</v>
      </c>
      <c r="N51" s="111">
        <f t="shared" si="129"/>
        <v>0</v>
      </c>
      <c r="O51" s="111">
        <f t="shared" si="130"/>
        <v>12359.772863412059</v>
      </c>
      <c r="P51" s="112">
        <f t="shared" si="131"/>
        <v>0.1620150267793902</v>
      </c>
      <c r="Q51" s="111">
        <f t="shared" si="150"/>
        <v>21154.091847670003</v>
      </c>
      <c r="R51" s="112">
        <f t="shared" si="132"/>
        <v>0.27729318289816812</v>
      </c>
      <c r="S51" s="113">
        <f t="shared" si="133"/>
        <v>1.7115275564886205</v>
      </c>
      <c r="T51" s="111">
        <f t="shared" si="134"/>
        <v>11824.611777755001</v>
      </c>
      <c r="U51" s="114">
        <f t="shared" si="151"/>
        <v>0.155</v>
      </c>
      <c r="V51" s="111">
        <f t="shared" si="152"/>
        <v>20415.591847670003</v>
      </c>
      <c r="W51" s="112">
        <f t="shared" si="135"/>
        <v>0.26761273823313975</v>
      </c>
      <c r="X51" s="113">
        <f t="shared" si="136"/>
        <v>1.7265337950525146</v>
      </c>
      <c r="Y51" s="110"/>
      <c r="Z51" s="288">
        <f t="shared" si="153"/>
        <v>76287.817921000009</v>
      </c>
      <c r="AA51" s="112">
        <f t="shared" si="137"/>
        <v>1</v>
      </c>
      <c r="AB51" s="113">
        <f t="shared" si="138"/>
        <v>2.8568542416916958</v>
      </c>
      <c r="AC51" s="111">
        <f t="shared" si="139"/>
        <v>0</v>
      </c>
      <c r="AD51" s="111">
        <f t="shared" si="154"/>
        <v>21154.091847670003</v>
      </c>
      <c r="AE51" s="112">
        <f t="shared" si="140"/>
        <v>0.27729318289816812</v>
      </c>
      <c r="AF51" s="115">
        <f t="shared" si="141"/>
        <v>1.7115275564886205</v>
      </c>
      <c r="AH51" s="111">
        <f t="shared" si="155"/>
        <v>26703.433730600802</v>
      </c>
      <c r="AI51" s="111">
        <f t="shared" si="156"/>
        <v>12359.772863412059</v>
      </c>
      <c r="AJ51" s="111">
        <f t="shared" si="157"/>
        <v>11824.611777755001</v>
      </c>
      <c r="AL51" s="42"/>
      <c r="AM51" s="42"/>
    </row>
    <row r="52" spans="1:39" s="41" customFormat="1" ht="25.5" customHeight="1">
      <c r="A52" s="109" t="s">
        <v>237</v>
      </c>
      <c r="B52" s="110" t="s">
        <v>253</v>
      </c>
      <c r="C52" s="111">
        <f>VLOOKUP($A52,$A$77:$AF$85,3,FALSE)+VLOOKUP($A52,$A$63:$AF$71,3,FALSE)+C37</f>
        <v>147008.85856699999</v>
      </c>
      <c r="D52" s="111">
        <f>VLOOKUP($A52,$A$77:$AF$85,4,FALSE)+VLOOKUP($A52,$A$63:$AF$71,4,FALSE)+D37</f>
        <v>0</v>
      </c>
      <c r="E52" s="111">
        <f>VLOOKUP($A52,$A$77:$AF$85,5,FALSE)+VLOOKUP($A52,$A$63:$AF$71,5,FALSE)+E37</f>
        <v>0</v>
      </c>
      <c r="F52" s="288">
        <f>VLOOKUP($A52,$A$77:$AF$85,6,FALSE)+VLOOKUP($A52,$A$63:$AF$71,6,FALSE)+F37</f>
        <v>147008.85856699999</v>
      </c>
      <c r="G52" s="111">
        <f>VLOOKUP($A52,$A$77:$AF$85,7,FALSE)+VLOOKUP($A52,$A$63:$AF$71,7,FALSE)+G37</f>
        <v>0</v>
      </c>
      <c r="H52" s="111">
        <f t="shared" si="147"/>
        <v>147008.85856699999</v>
      </c>
      <c r="I52" s="111">
        <f t="shared" si="126"/>
        <v>51458.298579471179</v>
      </c>
      <c r="J52" s="112">
        <f t="shared" si="127"/>
        <v>0.3500353589645675</v>
      </c>
      <c r="K52" s="111">
        <f>VLOOKUP($A52,$A$77:$AF$85,11,FALSE)+VLOOKUP($A52,$A$63:$AF$71,11,FALSE)+K37</f>
        <v>53916.31235652</v>
      </c>
      <c r="L52" s="112">
        <f t="shared" si="149"/>
        <v>0.36675553352417456</v>
      </c>
      <c r="M52" s="113">
        <f t="shared" si="128"/>
        <v>1.047767101612439</v>
      </c>
      <c r="N52" s="111">
        <f t="shared" si="129"/>
        <v>93092.546210479981</v>
      </c>
      <c r="O52" s="111">
        <f t="shared" si="130"/>
        <v>23817.64415754009</v>
      </c>
      <c r="P52" s="112">
        <f t="shared" si="131"/>
        <v>0.1620150267793902</v>
      </c>
      <c r="Q52" s="111">
        <f>VLOOKUP($A52,$A$77:$AF$85,17,FALSE)+VLOOKUP($A52,$A$63:$AF$71,17,FALSE)+Q37</f>
        <v>11143.622837340001</v>
      </c>
      <c r="R52" s="112">
        <f t="shared" si="132"/>
        <v>7.580239004618379E-2</v>
      </c>
      <c r="S52" s="113">
        <f t="shared" si="133"/>
        <v>0.46787258906176071</v>
      </c>
      <c r="T52" s="111">
        <f t="shared" si="134"/>
        <v>22786.373077884997</v>
      </c>
      <c r="U52" s="114">
        <f t="shared" si="151"/>
        <v>0.155</v>
      </c>
      <c r="V52" s="111">
        <f>V66+V80+V37</f>
        <v>11143.622837340001</v>
      </c>
      <c r="W52" s="112">
        <f t="shared" si="135"/>
        <v>7.580239004618379E-2</v>
      </c>
      <c r="X52" s="113">
        <f t="shared" si="136"/>
        <v>0.48904767771731478</v>
      </c>
      <c r="Y52" s="110"/>
      <c r="Z52" s="288">
        <f>VLOOKUP($A52,$A$77:$AF$85,11,FALSE)+VLOOKUP($A52,$A$63:$AF$71,11,FALSE)+Z37</f>
        <v>53916.31235652</v>
      </c>
      <c r="AA52" s="112">
        <f t="shared" si="137"/>
        <v>0.36675553352417456</v>
      </c>
      <c r="AB52" s="113">
        <f t="shared" si="138"/>
        <v>1.047767101612439</v>
      </c>
      <c r="AC52" s="111">
        <f t="shared" si="139"/>
        <v>93092.546210479981</v>
      </c>
      <c r="AD52" s="111">
        <f>VLOOKUP($A52,$A$77:$AF$85,17,FALSE)+VLOOKUP($A52,$A$63:$AF$71,17,FALSE)+AD37</f>
        <v>11143.622837340001</v>
      </c>
      <c r="AE52" s="112">
        <f t="shared" si="140"/>
        <v>7.580239004618379E-2</v>
      </c>
      <c r="AF52" s="115">
        <f t="shared" si="141"/>
        <v>0.46787258906176071</v>
      </c>
      <c r="AH52" s="111">
        <f t="shared" si="155"/>
        <v>51458.298579471179</v>
      </c>
      <c r="AI52" s="111">
        <f t="shared" si="156"/>
        <v>23817.64415754009</v>
      </c>
      <c r="AJ52" s="111">
        <f t="shared" si="157"/>
        <v>22786.373077884997</v>
      </c>
    </row>
    <row r="53" spans="1:39" s="41" customFormat="1" ht="25.5" customHeight="1">
      <c r="A53" s="109" t="s">
        <v>7</v>
      </c>
      <c r="B53" s="110" t="s">
        <v>248</v>
      </c>
      <c r="C53" s="111">
        <f>VLOOKUP($A53,$A$77:$AF$85,3,FALSE)+VLOOKUP($A53,$A$63:$AF$71,3,FALSE)+C38</f>
        <v>85592.112940999999</v>
      </c>
      <c r="D53" s="111">
        <f>VLOOKUP($A53,$A$77:$AF$85,4,FALSE)+VLOOKUP($A53,$A$63:$AF$71,4,FALSE)+D38</f>
        <v>0</v>
      </c>
      <c r="E53" s="111">
        <f>VLOOKUP($A53,$A$77:$AF$85,5,FALSE)+VLOOKUP($A53,$A$63:$AF$71,5,FALSE)+E38</f>
        <v>0</v>
      </c>
      <c r="F53" s="288">
        <f>VLOOKUP($A53,$A$77:$AF$85,6,FALSE)+VLOOKUP($A53,$A$63:$AF$71,6,FALSE)+F38</f>
        <v>85592.112940999999</v>
      </c>
      <c r="G53" s="111">
        <f>VLOOKUP($A53,$A$77:$AF$85,7,FALSE)+VLOOKUP($A53,$A$63:$AF$71,7,FALSE)+G38</f>
        <v>4651.1000000000004</v>
      </c>
      <c r="H53" s="111">
        <f t="shared" ref="H53" si="158">F53-G53</f>
        <v>80941.012940999994</v>
      </c>
      <c r="I53" s="111">
        <f t="shared" ref="I53" si="159">J53*$H53</f>
        <v>28332.216519758636</v>
      </c>
      <c r="J53" s="112">
        <f t="shared" si="127"/>
        <v>0.3500353589645675</v>
      </c>
      <c r="K53" s="111">
        <f>VLOOKUP($A53,$A$77:$AF$85,11,FALSE)+VLOOKUP($A53,$A$63:$AF$71,11,FALSE)+K38</f>
        <v>27307.766154179997</v>
      </c>
      <c r="L53" s="112">
        <f t="shared" ref="L53" si="160">IF(H53=0,"",IF(H53="","",K53/$H53))</f>
        <v>0.33737860649316725</v>
      </c>
      <c r="M53" s="113">
        <f t="shared" ref="M53" si="161">L53/J53</f>
        <v>0.96384150301603833</v>
      </c>
      <c r="N53" s="111">
        <f t="shared" ref="N53" si="162">H53-K53</f>
        <v>53633.246786819996</v>
      </c>
      <c r="O53" s="111">
        <f t="shared" ref="O53" si="163">P53*$H53</f>
        <v>13113.660379187082</v>
      </c>
      <c r="P53" s="112">
        <f t="shared" si="131"/>
        <v>0.1620150267793902</v>
      </c>
      <c r="Q53" s="111">
        <f>VLOOKUP($A53,$A$77:$AF$85,17,FALSE)+VLOOKUP($A53,$A$63:$AF$71,17,FALSE)+Q38</f>
        <v>14967.48001084</v>
      </c>
      <c r="R53" s="112">
        <f t="shared" ref="R53" si="164">IF(H53=0,"",IF(H53="","",Q53/$H53))</f>
        <v>0.1849183679199837</v>
      </c>
      <c r="S53" s="113">
        <f t="shared" ref="S53" si="165">R53/P53</f>
        <v>1.1413655362460924</v>
      </c>
      <c r="T53" s="111">
        <f t="shared" ref="T53" si="166">U53*$H53</f>
        <v>12545.857005854999</v>
      </c>
      <c r="U53" s="114">
        <f t="shared" si="151"/>
        <v>0.155</v>
      </c>
      <c r="V53" s="111">
        <f>V67+V81+V38</f>
        <v>14934.47116884</v>
      </c>
      <c r="W53" s="112">
        <f t="shared" ref="W53" si="167">IF(H53=0,"",IF(H53="","",V53/$H53))</f>
        <v>0.18451055436785951</v>
      </c>
      <c r="X53" s="113">
        <f t="shared" ref="X53" si="168">W53/U53</f>
        <v>1.1903906733410292</v>
      </c>
      <c r="Y53" s="110"/>
      <c r="Z53" s="288">
        <f>VLOOKUP($A53,$A$77:$AF$85,11,FALSE)+VLOOKUP($A53,$A$63:$AF$71,11,FALSE)+Z38</f>
        <v>27307.766154179997</v>
      </c>
      <c r="AA53" s="112">
        <f t="shared" ref="AA53" si="169">IF(F53=0,"",IF(F53="","",Z53/$F53))</f>
        <v>0.31904535611831047</v>
      </c>
      <c r="AB53" s="113">
        <f t="shared" ref="AB53" si="170">AA53/$J53</f>
        <v>0.91146607891863285</v>
      </c>
      <c r="AC53" s="111">
        <f t="shared" ref="AC53" si="171">F53-Z53</f>
        <v>58284.346786820002</v>
      </c>
      <c r="AD53" s="111">
        <f>VLOOKUP($A53,$A$77:$AF$85,17,FALSE)+VLOOKUP($A53,$A$63:$AF$71,17,FALSE)+AD38</f>
        <v>14967.48001084</v>
      </c>
      <c r="AE53" s="112">
        <f t="shared" ref="AE53" si="172">IF(F53=0,"",IF(F53="","",AD53/$F53))</f>
        <v>0.17486985069707672</v>
      </c>
      <c r="AF53" s="115">
        <f t="shared" ref="AF53" si="173">AE53/P53</f>
        <v>1.0793434051965467</v>
      </c>
      <c r="AH53" s="111">
        <f t="shared" ref="AH53" si="174">J53*$F53</f>
        <v>29960.265977838739</v>
      </c>
      <c r="AI53" s="111">
        <f t="shared" ref="AI53" si="175">P53*$F53</f>
        <v>13867.208470240705</v>
      </c>
      <c r="AJ53" s="111">
        <f t="shared" ref="AJ53" si="176">U53*$F53</f>
        <v>13266.777505855</v>
      </c>
    </row>
    <row r="54" spans="1:39" s="41" customFormat="1" ht="25.5" customHeight="1">
      <c r="A54" s="109" t="s">
        <v>8</v>
      </c>
      <c r="B54" s="110" t="s">
        <v>251</v>
      </c>
      <c r="C54" s="111">
        <f>VLOOKUP($A54,$A$77:$AF$85,3,FALSE)+VLOOKUP($A54,$A$63:$AF$71,3,FALSE)+C39</f>
        <v>90559.823413999999</v>
      </c>
      <c r="D54" s="111">
        <f>VLOOKUP($A54,$A$77:$AF$85,4,FALSE)+VLOOKUP($A54,$A$63:$AF$71,4,FALSE)+D39</f>
        <v>0</v>
      </c>
      <c r="E54" s="111">
        <f>VLOOKUP($A54,$A$77:$AF$85,5,FALSE)+VLOOKUP($A54,$A$63:$AF$71,5,FALSE)+E39</f>
        <v>0</v>
      </c>
      <c r="F54" s="288">
        <f>VLOOKUP($A54,$A$77:$AF$85,6,FALSE)+VLOOKUP($A54,$A$63:$AF$71,6,FALSE)+F39</f>
        <v>90559.823413999999</v>
      </c>
      <c r="G54" s="111">
        <f>VLOOKUP($A54,$A$77:$AF$85,7,FALSE)+VLOOKUP($A54,$A$63:$AF$71,7,FALSE)+G39</f>
        <v>0</v>
      </c>
      <c r="H54" s="111">
        <f t="shared" si="147"/>
        <v>90559.823413999999</v>
      </c>
      <c r="I54" s="111">
        <f t="shared" si="126"/>
        <v>31699.140296487334</v>
      </c>
      <c r="J54" s="112">
        <f t="shared" si="127"/>
        <v>0.3500353589645675</v>
      </c>
      <c r="K54" s="111">
        <f>VLOOKUP($A54,$A$77:$AF$85,11,FALSE)+VLOOKUP($A54,$A$63:$AF$71,11,FALSE)+K39</f>
        <v>21905.82739653</v>
      </c>
      <c r="L54" s="112">
        <f t="shared" si="149"/>
        <v>0.24189344204422877</v>
      </c>
      <c r="M54" s="113">
        <f t="shared" si="128"/>
        <v>0.69105430594145933</v>
      </c>
      <c r="N54" s="111">
        <f t="shared" si="129"/>
        <v>68653.996017469995</v>
      </c>
      <c r="O54" s="111">
        <f t="shared" si="130"/>
        <v>14672.052215556057</v>
      </c>
      <c r="P54" s="112">
        <f t="shared" si="131"/>
        <v>0.1620150267793902</v>
      </c>
      <c r="Q54" s="111">
        <f>VLOOKUP($A54,$A$77:$AF$85,17,FALSE)+VLOOKUP($A54,$A$63:$AF$71,17,FALSE)+Q39</f>
        <v>9128.9792938600003</v>
      </c>
      <c r="R54" s="112">
        <f t="shared" si="132"/>
        <v>0.1008060633259662</v>
      </c>
      <c r="S54" s="113">
        <f t="shared" si="133"/>
        <v>0.62220193601689822</v>
      </c>
      <c r="T54" s="111">
        <f t="shared" si="134"/>
        <v>14036.77262917</v>
      </c>
      <c r="U54" s="114">
        <f t="shared" si="151"/>
        <v>0.155</v>
      </c>
      <c r="V54" s="111">
        <f>V68+V82+V39</f>
        <v>9128.9792938600003</v>
      </c>
      <c r="W54" s="112">
        <f t="shared" si="135"/>
        <v>0.1008060633259662</v>
      </c>
      <c r="X54" s="113">
        <f t="shared" si="136"/>
        <v>0.6503616988772013</v>
      </c>
      <c r="Y54" s="110"/>
      <c r="Z54" s="288">
        <f>VLOOKUP($A54,$A$77:$AF$85,11,FALSE)+VLOOKUP($A54,$A$63:$AF$71,11,FALSE)+Z39</f>
        <v>21905.82739653</v>
      </c>
      <c r="AA54" s="112">
        <f t="shared" si="137"/>
        <v>0.24189344204422877</v>
      </c>
      <c r="AB54" s="113">
        <f t="shared" si="138"/>
        <v>0.69105430594145933</v>
      </c>
      <c r="AC54" s="111">
        <f t="shared" si="139"/>
        <v>68653.996017469995</v>
      </c>
      <c r="AD54" s="111">
        <f>VLOOKUP($A54,$A$77:$AF$85,17,FALSE)+VLOOKUP($A54,$A$63:$AF$71,17,FALSE)+AD39</f>
        <v>9128.9792938600003</v>
      </c>
      <c r="AE54" s="112">
        <f t="shared" si="140"/>
        <v>0.1008060633259662</v>
      </c>
      <c r="AF54" s="115">
        <f t="shared" si="141"/>
        <v>0.62220193601689822</v>
      </c>
      <c r="AH54" s="111">
        <f t="shared" si="155"/>
        <v>31699.140296487334</v>
      </c>
      <c r="AI54" s="111">
        <f t="shared" si="156"/>
        <v>14672.052215556057</v>
      </c>
      <c r="AJ54" s="111">
        <f t="shared" si="157"/>
        <v>14036.77262917</v>
      </c>
      <c r="AK54" s="42"/>
    </row>
    <row r="55" spans="1:39" s="41" customFormat="1" ht="25.5" customHeight="1">
      <c r="A55" s="109" t="s">
        <v>9</v>
      </c>
      <c r="B55" s="110" t="s">
        <v>250</v>
      </c>
      <c r="C55" s="111">
        <f t="shared" si="142"/>
        <v>614717.6294509999</v>
      </c>
      <c r="D55" s="111">
        <f t="shared" si="143"/>
        <v>0</v>
      </c>
      <c r="E55" s="111">
        <f t="shared" si="144"/>
        <v>0</v>
      </c>
      <c r="F55" s="111">
        <f t="shared" si="145"/>
        <v>614717.6294509999</v>
      </c>
      <c r="G55" s="111">
        <f t="shared" si="146"/>
        <v>369679.86293800001</v>
      </c>
      <c r="H55" s="111">
        <f t="shared" si="147"/>
        <v>245037.76651299989</v>
      </c>
      <c r="I55" s="111">
        <f t="shared" si="126"/>
        <v>85771.882561253791</v>
      </c>
      <c r="J55" s="112">
        <f t="shared" si="127"/>
        <v>0.3500353589645675</v>
      </c>
      <c r="K55" s="111">
        <f t="shared" si="148"/>
        <v>160777.85572406001</v>
      </c>
      <c r="L55" s="112">
        <f t="shared" si="149"/>
        <v>0.65613500323645135</v>
      </c>
      <c r="M55" s="113">
        <f t="shared" si="128"/>
        <v>1.8744820671184506</v>
      </c>
      <c r="N55" s="111">
        <f t="shared" si="129"/>
        <v>84259.910788939887</v>
      </c>
      <c r="O55" s="111">
        <f t="shared" si="130"/>
        <v>39699.800303565644</v>
      </c>
      <c r="P55" s="112">
        <f t="shared" si="131"/>
        <v>0.1620150267793902</v>
      </c>
      <c r="Q55" s="111">
        <f t="shared" si="150"/>
        <v>91477.709349140001</v>
      </c>
      <c r="R55" s="112">
        <f t="shared" si="132"/>
        <v>0.37332085845749363</v>
      </c>
      <c r="S55" s="113">
        <f t="shared" si="133"/>
        <v>2.3042360074774466</v>
      </c>
      <c r="T55" s="111">
        <f t="shared" si="134"/>
        <v>37980.853809514985</v>
      </c>
      <c r="U55" s="114">
        <f t="shared" si="151"/>
        <v>0.155</v>
      </c>
      <c r="V55" s="111">
        <f t="shared" si="152"/>
        <v>91442.521817140005</v>
      </c>
      <c r="W55" s="112">
        <f t="shared" si="135"/>
        <v>0.37317725801377127</v>
      </c>
      <c r="X55" s="113">
        <f t="shared" si="136"/>
        <v>2.4075952129920726</v>
      </c>
      <c r="Y55" s="110"/>
      <c r="Z55" s="111">
        <f t="shared" si="153"/>
        <v>160777.85572406001</v>
      </c>
      <c r="AA55" s="112">
        <f t="shared" si="137"/>
        <v>0.26154749436363101</v>
      </c>
      <c r="AB55" s="113">
        <f t="shared" si="138"/>
        <v>0.74720306867657416</v>
      </c>
      <c r="AC55" s="111">
        <f t="shared" si="139"/>
        <v>453939.77372693992</v>
      </c>
      <c r="AD55" s="111">
        <f t="shared" si="154"/>
        <v>91477.709349140001</v>
      </c>
      <c r="AE55" s="112">
        <f t="shared" si="140"/>
        <v>0.14881256851351102</v>
      </c>
      <c r="AF55" s="115">
        <f t="shared" si="141"/>
        <v>0.91851090279510628</v>
      </c>
      <c r="AH55" s="111">
        <f t="shared" si="155"/>
        <v>215172.90608672873</v>
      </c>
      <c r="AI55" s="111">
        <f t="shared" si="156"/>
        <v>99593.493197267002</v>
      </c>
      <c r="AJ55" s="111">
        <f t="shared" si="157"/>
        <v>95281.232564904989</v>
      </c>
    </row>
    <row r="56" spans="1:39" s="41" customFormat="1" ht="25.5" customHeight="1">
      <c r="A56" s="109" t="s">
        <v>261</v>
      </c>
      <c r="B56" s="110" t="s">
        <v>221</v>
      </c>
      <c r="C56" s="111">
        <f>VLOOKUP($A56,$A$77:$AF$85,3,FALSE)+VLOOKUP($A56,$A$63:$AF$71,3,FALSE)+C40</f>
        <v>128505.13242999998</v>
      </c>
      <c r="D56" s="111">
        <f>VLOOKUP($A56,$A$77:$AF$85,4,FALSE)+VLOOKUP($A56,$A$63:$AF$71,4,FALSE)+D40</f>
        <v>0</v>
      </c>
      <c r="E56" s="111">
        <f>VLOOKUP($A56,$A$77:$AF$85,5,FALSE)+VLOOKUP($A56,$A$63:$AF$71,5,FALSE)+E40</f>
        <v>0</v>
      </c>
      <c r="F56" s="288">
        <f>VLOOKUP($A56,$A$77:$AF$85,6,FALSE)+VLOOKUP($A56,$A$63:$AF$71,6,FALSE)+F40</f>
        <v>128505.13242999998</v>
      </c>
      <c r="G56" s="111">
        <f>VLOOKUP($A56,$A$77:$AF$85,7,FALSE)+VLOOKUP($A56,$A$63:$AF$71,7,FALSE)+G40</f>
        <v>0</v>
      </c>
      <c r="H56" s="111">
        <f t="shared" si="147"/>
        <v>128505.13242999998</v>
      </c>
      <c r="I56" s="111">
        <f t="shared" si="126"/>
        <v>44981.340158924329</v>
      </c>
      <c r="J56" s="112">
        <f t="shared" si="127"/>
        <v>0.3500353589645675</v>
      </c>
      <c r="K56" s="111">
        <f>VLOOKUP($A56,$A$77:$AF$85,11,FALSE)+VLOOKUP($A56,$A$63:$AF$71,11,FALSE)+K40</f>
        <v>40274.514360950001</v>
      </c>
      <c r="L56" s="112">
        <f t="shared" si="149"/>
        <v>0.31340782737131961</v>
      </c>
      <c r="M56" s="113">
        <f t="shared" si="128"/>
        <v>0.89536048100513321</v>
      </c>
      <c r="N56" s="111">
        <f t="shared" si="129"/>
        <v>88230.61806904999</v>
      </c>
      <c r="O56" s="111">
        <f t="shared" si="130"/>
        <v>20819.76247193553</v>
      </c>
      <c r="P56" s="112">
        <f t="shared" si="131"/>
        <v>0.1620150267793902</v>
      </c>
      <c r="Q56" s="111">
        <f>VLOOKUP($A56,$A$77:$AF$85,17,FALSE)+VLOOKUP($A56,$A$63:$AF$71,17,FALSE)+Q40</f>
        <v>22491.774653749999</v>
      </c>
      <c r="R56" s="112">
        <f t="shared" si="132"/>
        <v>0.17502627504782226</v>
      </c>
      <c r="S56" s="113">
        <f t="shared" si="133"/>
        <v>1.080308898051469</v>
      </c>
      <c r="T56" s="111">
        <f t="shared" si="134"/>
        <v>19918.295526649996</v>
      </c>
      <c r="U56" s="114">
        <f t="shared" si="151"/>
        <v>0.155</v>
      </c>
      <c r="V56" s="111">
        <f>V70+V84+V40</f>
        <v>21599.480809749999</v>
      </c>
      <c r="W56" s="112">
        <f t="shared" si="135"/>
        <v>0.16808263141953328</v>
      </c>
      <c r="X56" s="113">
        <f t="shared" si="136"/>
        <v>1.0844040736744083</v>
      </c>
      <c r="Y56" s="110"/>
      <c r="Z56" s="288">
        <f>VLOOKUP($A56,$A$77:$AF$85,11,FALSE)+VLOOKUP($A56,$A$63:$AF$71,11,FALSE)+Z40</f>
        <v>40274.514360950001</v>
      </c>
      <c r="AA56" s="112">
        <f t="shared" si="137"/>
        <v>0.31340782737131961</v>
      </c>
      <c r="AB56" s="113">
        <f t="shared" si="138"/>
        <v>0.89536048100513321</v>
      </c>
      <c r="AC56" s="111">
        <f>F56-Z56</f>
        <v>88230.61806904999</v>
      </c>
      <c r="AD56" s="111">
        <f>VLOOKUP($A56,$A$77:$AF$86,17,FALSE)+VLOOKUP($A56,$A$63:$AF$71,17,FALSE)+AD40</f>
        <v>22491.774653749999</v>
      </c>
      <c r="AE56" s="112">
        <f t="shared" si="140"/>
        <v>0.17502627504782226</v>
      </c>
      <c r="AF56" s="115">
        <f t="shared" si="141"/>
        <v>1.080308898051469</v>
      </c>
      <c r="AH56" s="111">
        <f t="shared" si="155"/>
        <v>44981.340158924329</v>
      </c>
      <c r="AI56" s="111">
        <f t="shared" si="156"/>
        <v>20819.76247193553</v>
      </c>
      <c r="AJ56" s="111">
        <f t="shared" si="157"/>
        <v>19918.295526649996</v>
      </c>
      <c r="AK56" s="24"/>
      <c r="AL56" s="24"/>
      <c r="AM56" s="24"/>
    </row>
    <row r="57" spans="1:39" s="41" customFormat="1" ht="25.5" customHeight="1">
      <c r="A57" s="109" t="s">
        <v>262</v>
      </c>
      <c r="B57" s="110" t="s">
        <v>17</v>
      </c>
      <c r="C57" s="111">
        <f>VLOOKUP($A57,$A$77:$AF$85,3,FALSE)+VLOOKUP($A57,$A$63:$AF$71,3,FALSE)</f>
        <v>1900.5941029999999</v>
      </c>
      <c r="D57" s="111">
        <f>VLOOKUP($A57,$A$77:$AF$85,4,FALSE)+VLOOKUP($A57,$A$63:$AF$71,4,FALSE)</f>
        <v>0</v>
      </c>
      <c r="E57" s="111">
        <f t="shared" si="144"/>
        <v>0</v>
      </c>
      <c r="F57" s="111">
        <f t="shared" si="145"/>
        <v>1900.5941029999999</v>
      </c>
      <c r="G57" s="111">
        <f t="shared" si="146"/>
        <v>0</v>
      </c>
      <c r="H57" s="111">
        <f t="shared" si="147"/>
        <v>1900.5941029999999</v>
      </c>
      <c r="I57" s="111">
        <f t="shared" si="126"/>
        <v>665.27513908954518</v>
      </c>
      <c r="J57" s="112">
        <f t="shared" si="127"/>
        <v>0.3500353589645675</v>
      </c>
      <c r="K57" s="111">
        <f t="shared" si="148"/>
        <v>0</v>
      </c>
      <c r="L57" s="112">
        <f t="shared" si="149"/>
        <v>0</v>
      </c>
      <c r="M57" s="113">
        <f t="shared" si="128"/>
        <v>0</v>
      </c>
      <c r="N57" s="111">
        <f>H57-K57</f>
        <v>1900.5941029999999</v>
      </c>
      <c r="O57" s="111">
        <f t="shared" si="130"/>
        <v>307.9248044942961</v>
      </c>
      <c r="P57" s="112">
        <f t="shared" si="131"/>
        <v>0.1620150267793902</v>
      </c>
      <c r="Q57" s="111">
        <f t="shared" si="150"/>
        <v>0</v>
      </c>
      <c r="R57" s="112">
        <f t="shared" si="132"/>
        <v>0</v>
      </c>
      <c r="S57" s="113">
        <f t="shared" si="133"/>
        <v>0</v>
      </c>
      <c r="T57" s="111">
        <f t="shared" si="134"/>
        <v>294.59208596499997</v>
      </c>
      <c r="U57" s="114">
        <f t="shared" si="151"/>
        <v>0.155</v>
      </c>
      <c r="V57" s="111">
        <f t="shared" si="152"/>
        <v>0</v>
      </c>
      <c r="W57" s="112">
        <f t="shared" si="135"/>
        <v>0</v>
      </c>
      <c r="X57" s="113">
        <f t="shared" si="136"/>
        <v>0</v>
      </c>
      <c r="Y57" s="110"/>
      <c r="Z57" s="111">
        <f t="shared" si="153"/>
        <v>0</v>
      </c>
      <c r="AA57" s="112">
        <f t="shared" si="137"/>
        <v>0</v>
      </c>
      <c r="AB57" s="113">
        <f t="shared" si="138"/>
        <v>0</v>
      </c>
      <c r="AC57" s="111">
        <f t="shared" si="139"/>
        <v>1900.5941029999999</v>
      </c>
      <c r="AD57" s="111">
        <f>VLOOKUP($A57,$A$77:$AF$86,17,FALSE)+VLOOKUP($A57,$A$63:$AF$71,17,FALSE)</f>
        <v>0</v>
      </c>
      <c r="AE57" s="112">
        <f t="shared" si="140"/>
        <v>0</v>
      </c>
      <c r="AF57" s="115">
        <f t="shared" si="141"/>
        <v>0</v>
      </c>
      <c r="AH57" s="111">
        <f t="shared" si="155"/>
        <v>665.27513908954518</v>
      </c>
      <c r="AI57" s="111">
        <f t="shared" si="156"/>
        <v>307.9248044942961</v>
      </c>
      <c r="AJ57" s="111">
        <f t="shared" si="157"/>
        <v>294.59208596499997</v>
      </c>
      <c r="AK57" s="13"/>
      <c r="AL57" s="13"/>
    </row>
    <row r="58" spans="1:39" s="41" customFormat="1" ht="25.5" customHeight="1">
      <c r="A58" s="109" t="s">
        <v>263</v>
      </c>
      <c r="B58" s="110" t="s">
        <v>9</v>
      </c>
      <c r="C58" s="116">
        <f>VLOOKUP($A58,$A$77:$AF$86,3,FALSE)+VLOOKUP($A58,$A$63:$AF$72,3,FALSE)</f>
        <v>0</v>
      </c>
      <c r="D58" s="116">
        <f>VLOOKUP($A58,$A$77:$AF$86,4,FALSE)+VLOOKUP($A58,$A$63:$AF$72,4,FALSE)</f>
        <v>0</v>
      </c>
      <c r="E58" s="116">
        <f>VLOOKUP($A58,$A$77:$AF$86,5,FALSE)+VLOOKUP($A58,$A$63:$AF$72,5,FALSE)</f>
        <v>0</v>
      </c>
      <c r="F58" s="116">
        <f>VLOOKUP($A58,$A$77:$AF$86,6,FALSE)+VLOOKUP($A58,$A$63:$AF$72,6,FALSE)</f>
        <v>0</v>
      </c>
      <c r="G58" s="116">
        <f>VLOOKUP($A58,$A$77:$AF$86,7,FALSE)+VLOOKUP($A58,$A$63:$AF$72,7,FALSE)</f>
        <v>0</v>
      </c>
      <c r="H58" s="116">
        <f t="shared" ref="H58" si="177">F58-G58</f>
        <v>0</v>
      </c>
      <c r="I58" s="116">
        <f t="shared" ref="I58" si="178">J58*$H58</f>
        <v>0</v>
      </c>
      <c r="J58" s="117">
        <f t="shared" si="127"/>
        <v>0.3500353589645675</v>
      </c>
      <c r="K58" s="116">
        <f>VLOOKUP($A58,$A$77:$AF$86,11,FALSE)+VLOOKUP($A58,$A$63:$AF$72,11,FALSE)</f>
        <v>0</v>
      </c>
      <c r="L58" s="117" t="str">
        <f t="shared" ref="L58" si="179">IF(H58=0,"",IF(H58="","",K58/$H58))</f>
        <v/>
      </c>
      <c r="M58" s="113" t="e">
        <f t="shared" ref="M58" si="180">L58/J58</f>
        <v>#VALUE!</v>
      </c>
      <c r="N58" s="116">
        <f>H58-K58</f>
        <v>0</v>
      </c>
      <c r="O58" s="116">
        <f t="shared" ref="O58" si="181">P58*$H58</f>
        <v>0</v>
      </c>
      <c r="P58" s="117">
        <f t="shared" si="131"/>
        <v>0.1620150267793902</v>
      </c>
      <c r="Q58" s="116">
        <f>VLOOKUP($A58,$A$77:$AF$86,17,FALSE)+VLOOKUP($A58,$A$63:$AF$72,17,FALSE)</f>
        <v>0</v>
      </c>
      <c r="R58" s="117" t="str">
        <f t="shared" si="132"/>
        <v/>
      </c>
      <c r="S58" s="113" t="e">
        <f t="shared" si="133"/>
        <v>#VALUE!</v>
      </c>
      <c r="T58" s="116">
        <f t="shared" ref="T58" si="182">U58*$H58</f>
        <v>0</v>
      </c>
      <c r="U58" s="118">
        <f t="shared" si="151"/>
        <v>0.155</v>
      </c>
      <c r="V58" s="111">
        <f>V72+V86</f>
        <v>0</v>
      </c>
      <c r="W58" s="117" t="str">
        <f t="shared" si="135"/>
        <v/>
      </c>
      <c r="X58" s="113" t="e">
        <f t="shared" ref="X58" si="183">W58/U58</f>
        <v>#VALUE!</v>
      </c>
      <c r="Y58" s="110"/>
      <c r="Z58" s="116">
        <f>VLOOKUP($A58,$A$77:$AF$86,11,FALSE)+VLOOKUP($A58,$A$63:$AF$72,11,FALSE)</f>
        <v>0</v>
      </c>
      <c r="AA58" s="112" t="str">
        <f t="shared" si="137"/>
        <v/>
      </c>
      <c r="AB58" s="113" t="e">
        <f t="shared" ref="AB58" si="184">AA58/$J58</f>
        <v>#VALUE!</v>
      </c>
      <c r="AC58" s="111">
        <f>F58-Z58</f>
        <v>0</v>
      </c>
      <c r="AD58" s="116">
        <f>VLOOKUP($A58,$A$77:$AF$86,17,FALSE)+VLOOKUP($A58,$A$63:$AF$72,17,FALSE)</f>
        <v>0</v>
      </c>
      <c r="AE58" s="112" t="str">
        <f t="shared" si="140"/>
        <v/>
      </c>
      <c r="AF58" s="115" t="e">
        <f t="shared" si="141"/>
        <v>#VALUE!</v>
      </c>
      <c r="AH58" s="111">
        <f t="shared" si="155"/>
        <v>0</v>
      </c>
      <c r="AI58" s="111">
        <f t="shared" si="156"/>
        <v>0</v>
      </c>
      <c r="AJ58" s="111">
        <f t="shared" si="157"/>
        <v>0</v>
      </c>
      <c r="AK58"/>
    </row>
    <row r="59" spans="1:39">
      <c r="A59" s="290" t="s">
        <v>245</v>
      </c>
      <c r="B59" s="291"/>
      <c r="C59" s="260">
        <f t="shared" ref="C59:H59" si="185">SUM(C49:C58)</f>
        <v>1407601.5870279998</v>
      </c>
      <c r="D59" s="260">
        <f t="shared" si="185"/>
        <v>0</v>
      </c>
      <c r="E59" s="260">
        <f t="shared" si="185"/>
        <v>0</v>
      </c>
      <c r="F59" s="260">
        <f t="shared" si="185"/>
        <v>1407601.5870279998</v>
      </c>
      <c r="G59" s="260">
        <f t="shared" si="185"/>
        <v>409652.66117500002</v>
      </c>
      <c r="H59" s="260">
        <f t="shared" si="185"/>
        <v>997948.92585299979</v>
      </c>
      <c r="I59" s="260">
        <f t="shared" si="126"/>
        <v>349317.41048925935</v>
      </c>
      <c r="J59" s="261">
        <f t="shared" si="127"/>
        <v>0.3500353589645675</v>
      </c>
      <c r="K59" s="260">
        <f>SUM(K49:K58)</f>
        <v>442742.15708217002</v>
      </c>
      <c r="L59" s="261">
        <f t="shared" ref="L59" si="186">IFERROR(K59/$H59,"")</f>
        <v>0.44365212047674168</v>
      </c>
      <c r="M59" s="262">
        <f t="shared" si="128"/>
        <v>1.2674494422194946</v>
      </c>
      <c r="N59" s="260">
        <f>SUM(N49:N58)</f>
        <v>555206.76877082989</v>
      </c>
      <c r="O59" s="260">
        <f>SUM(O49:O58)</f>
        <v>161682.72194653749</v>
      </c>
      <c r="P59" s="261">
        <f t="shared" si="131"/>
        <v>0.1620150267793902</v>
      </c>
      <c r="Q59" s="260">
        <f>SUM(Q49:Q58)</f>
        <v>185306.94689290001</v>
      </c>
      <c r="R59" s="261">
        <f t="shared" ref="R59" si="187">IFERROR(Q59/$H59,"")</f>
        <v>0.18568780635192161</v>
      </c>
      <c r="S59" s="262">
        <f t="shared" si="133"/>
        <v>1.1461147156724281</v>
      </c>
      <c r="T59" s="260">
        <f>SUM(T49:T58)</f>
        <v>154682.08350721499</v>
      </c>
      <c r="U59" s="263">
        <f t="shared" si="151"/>
        <v>0.155</v>
      </c>
      <c r="V59" s="260">
        <f>SUM(V49:V58)</f>
        <v>183213.21386865</v>
      </c>
      <c r="W59" s="261">
        <f t="shared" ref="W59" si="188">IFERROR(V59/$H59,"")</f>
        <v>0.18358977009975533</v>
      </c>
      <c r="X59" s="264">
        <f t="shared" si="136"/>
        <v>1.1844501296758407</v>
      </c>
      <c r="Y59" s="108"/>
      <c r="Z59" s="260">
        <f>SUM(Z49:Z58)</f>
        <v>442742.15708217002</v>
      </c>
      <c r="AA59" s="261">
        <f>IFERROR(Z59/$F59,"")</f>
        <v>0.31453655719227536</v>
      </c>
      <c r="AB59" s="262">
        <f t="shared" si="138"/>
        <v>0.89858509758185445</v>
      </c>
      <c r="AC59" s="260">
        <f>SUM(AC49:AC58)</f>
        <v>964859.42994582991</v>
      </c>
      <c r="AD59" s="260">
        <f>SUM(AD49:AD58)</f>
        <v>185306.94689290001</v>
      </c>
      <c r="AE59" s="261">
        <f>IFERROR(AD59/$F59,"")</f>
        <v>0.13164729892366475</v>
      </c>
      <c r="AF59" s="264">
        <f t="shared" si="141"/>
        <v>0.8125622761086474</v>
      </c>
      <c r="AH59" s="260">
        <f t="shared" si="155"/>
        <v>492710.3267944408</v>
      </c>
      <c r="AI59" s="260">
        <f t="shared" si="156"/>
        <v>228052.60881705352</v>
      </c>
      <c r="AJ59" s="260">
        <f t="shared" si="157"/>
        <v>218178.24598933998</v>
      </c>
    </row>
    <row r="60" spans="1:39" ht="20.100000000000001" customHeight="1">
      <c r="A60" s="129"/>
      <c r="B60" s="124"/>
      <c r="C60" s="124"/>
      <c r="D60" s="124"/>
      <c r="E60" s="132"/>
      <c r="F60" s="132">
        <f>SUM(F56:F58)</f>
        <v>130405.72653299998</v>
      </c>
      <c r="G60" s="132">
        <f>F60-F59</f>
        <v>-1277195.8604949999</v>
      </c>
      <c r="H60" s="124"/>
      <c r="I60" s="124"/>
      <c r="J60" s="130"/>
      <c r="K60" s="124"/>
      <c r="L60" s="124"/>
      <c r="M60" s="131"/>
      <c r="N60" s="124"/>
      <c r="O60" s="124"/>
      <c r="P60" s="130"/>
      <c r="Q60" s="124"/>
      <c r="R60" s="124"/>
      <c r="S60" s="131"/>
      <c r="T60" s="124"/>
      <c r="U60" s="124"/>
      <c r="V60" s="124"/>
      <c r="W60" s="124"/>
      <c r="X60" s="131"/>
      <c r="Y60" s="124"/>
      <c r="Z60" s="132">
        <f>SUM(Z56:Z58)</f>
        <v>40274.514360950001</v>
      </c>
      <c r="AA60" s="124">
        <f>Z60/F60</f>
        <v>0.30884007498519084</v>
      </c>
      <c r="AB60" s="131"/>
      <c r="AC60" s="131"/>
      <c r="AD60" s="132">
        <f>SUM(AD56:AD58)</f>
        <v>22491.774653749999</v>
      </c>
      <c r="AE60" s="124">
        <f>AD60/F60</f>
        <v>0.17247536018334528</v>
      </c>
      <c r="AF60" s="125"/>
      <c r="AH60" s="137"/>
      <c r="AI60" s="137"/>
    </row>
    <row r="61" spans="1:39" ht="26.25" customHeight="1">
      <c r="A61" s="292" t="s">
        <v>225</v>
      </c>
      <c r="B61" s="293"/>
      <c r="C61" s="293"/>
      <c r="D61" s="293"/>
      <c r="E61" s="293"/>
      <c r="F61" s="293"/>
      <c r="G61" s="293"/>
      <c r="H61" s="293"/>
      <c r="I61" s="294" t="s">
        <v>2</v>
      </c>
      <c r="J61" s="295"/>
      <c r="K61" s="295"/>
      <c r="L61" s="295"/>
      <c r="M61" s="295"/>
      <c r="N61" s="296" t="s">
        <v>367</v>
      </c>
      <c r="O61" s="298" t="s">
        <v>3</v>
      </c>
      <c r="P61" s="299"/>
      <c r="Q61" s="299"/>
      <c r="R61" s="299"/>
      <c r="S61" s="300"/>
      <c r="T61" s="301" t="s">
        <v>113</v>
      </c>
      <c r="U61" s="301"/>
      <c r="V61" s="301"/>
      <c r="W61" s="301"/>
      <c r="X61" s="302"/>
      <c r="Z61" s="299" t="s">
        <v>2</v>
      </c>
      <c r="AA61" s="299"/>
      <c r="AB61" s="300"/>
      <c r="AC61" s="296" t="s">
        <v>367</v>
      </c>
      <c r="AD61" s="299" t="s">
        <v>3</v>
      </c>
      <c r="AE61" s="299"/>
      <c r="AF61" s="308"/>
      <c r="AH61" s="319" t="s">
        <v>387</v>
      </c>
      <c r="AI61" s="320"/>
      <c r="AJ61" s="320"/>
    </row>
    <row r="62" spans="1:39" ht="33" customHeight="1">
      <c r="A62" s="256" t="s">
        <v>0</v>
      </c>
      <c r="B62" s="257" t="s">
        <v>243</v>
      </c>
      <c r="C62" s="255" t="s">
        <v>361</v>
      </c>
      <c r="D62" s="257" t="s">
        <v>355</v>
      </c>
      <c r="E62" s="257" t="s">
        <v>356</v>
      </c>
      <c r="F62" s="255" t="s">
        <v>1</v>
      </c>
      <c r="G62" s="255" t="s">
        <v>362</v>
      </c>
      <c r="H62" s="255" t="s">
        <v>358</v>
      </c>
      <c r="I62" s="255" t="s">
        <v>257</v>
      </c>
      <c r="J62" s="266" t="s">
        <v>4</v>
      </c>
      <c r="K62" s="255" t="s">
        <v>5</v>
      </c>
      <c r="L62" s="303" t="s">
        <v>4</v>
      </c>
      <c r="M62" s="304"/>
      <c r="N62" s="297"/>
      <c r="O62" s="255" t="str">
        <f>I62</f>
        <v>Meta</v>
      </c>
      <c r="P62" s="266" t="s">
        <v>4</v>
      </c>
      <c r="Q62" s="255" t="s">
        <v>5</v>
      </c>
      <c r="R62" s="303" t="s">
        <v>4</v>
      </c>
      <c r="S62" s="304"/>
      <c r="T62" s="255" t="str">
        <f>O62</f>
        <v>Meta</v>
      </c>
      <c r="U62" s="255" t="s">
        <v>4</v>
      </c>
      <c r="V62" s="255" t="s">
        <v>5</v>
      </c>
      <c r="W62" s="303" t="s">
        <v>4</v>
      </c>
      <c r="X62" s="305"/>
      <c r="Z62" s="255" t="s">
        <v>5</v>
      </c>
      <c r="AA62" s="303" t="s">
        <v>4</v>
      </c>
      <c r="AB62" s="304"/>
      <c r="AC62" s="297"/>
      <c r="AD62" s="255" t="s">
        <v>5</v>
      </c>
      <c r="AE62" s="303" t="s">
        <v>4</v>
      </c>
      <c r="AF62" s="309"/>
      <c r="AH62" s="267" t="s">
        <v>2</v>
      </c>
      <c r="AI62" s="267" t="s">
        <v>3</v>
      </c>
      <c r="AJ62" s="267" t="s">
        <v>113</v>
      </c>
    </row>
    <row r="63" spans="1:39" s="41" customFormat="1" ht="25.5" customHeight="1">
      <c r="A63" s="109" t="s">
        <v>6</v>
      </c>
      <c r="B63" s="110" t="s">
        <v>258</v>
      </c>
      <c r="C63" s="111">
        <f>VLOOKUP(B63,REPORTE!$B$3:$AS$200,26,FALSE)/1000000</f>
        <v>64613.082964000001</v>
      </c>
      <c r="D63" s="111">
        <f>VLOOKUP(B63,REPORTE!$B$3:$AS$200,27,FALSE)/1000000</f>
        <v>0</v>
      </c>
      <c r="E63" s="111">
        <f>VLOOKUP(B63,REPORTE!$B$3:$AS$200,28,FALSE)/1000000</f>
        <v>0</v>
      </c>
      <c r="F63" s="111">
        <f>VLOOKUP(B63,REPORTE!$B$3:$AS$200,29,FALSE)/1000000</f>
        <v>64613.082964000001</v>
      </c>
      <c r="G63" s="116">
        <f>(VLOOKUP(B63,REPORTE!$B$3:$AS$200,30,FALSE)/1000000)</f>
        <v>0</v>
      </c>
      <c r="H63" s="116">
        <f>F63-G63</f>
        <v>64613.082964000001</v>
      </c>
      <c r="I63" s="116">
        <f t="shared" ref="I63:I73" si="189">J63*$H63</f>
        <v>22616.86368911112</v>
      </c>
      <c r="J63" s="117">
        <f t="shared" ref="J63:J73" si="190">$J$6</f>
        <v>0.3500353589645675</v>
      </c>
      <c r="K63" s="116">
        <f>VLOOKUP($B63,REPORTE!$B$3:$AS$200,32,FALSE)/1000000</f>
        <v>13919.962773099998</v>
      </c>
      <c r="L63" s="117">
        <f t="shared" ref="L63:L72" si="191">IF(H63=0,"",IF(H63="","",K63/$H63))</f>
        <v>0.21543566928783883</v>
      </c>
      <c r="M63" s="113">
        <f t="shared" ref="M63:M73" si="192">L63/J63</f>
        <v>0.61546830561665178</v>
      </c>
      <c r="N63" s="116">
        <f t="shared" ref="N63:N72" si="193">H63-K63</f>
        <v>50693.120190900001</v>
      </c>
      <c r="O63" s="116">
        <f t="shared" ref="O63:O72" si="194">P63*$H63</f>
        <v>10468.290366711421</v>
      </c>
      <c r="P63" s="117">
        <f t="shared" ref="P63:P73" si="195">$P$6</f>
        <v>0.1620150267793902</v>
      </c>
      <c r="Q63" s="116">
        <f>VLOOKUP($B63,REPORTE!$B$3:$AS$200,34,FALSE)/1000000</f>
        <v>11182.046675939999</v>
      </c>
      <c r="R63" s="117">
        <f t="shared" ref="R63:R72" si="196">IF(H63=0,"",IF(H63="","",Q63/$H63))</f>
        <v>0.17306164886405773</v>
      </c>
      <c r="S63" s="113">
        <f t="shared" ref="S63:S73" si="197">R63/P63</f>
        <v>1.0681827007300335</v>
      </c>
      <c r="T63" s="116">
        <f t="shared" ref="T63:T72" si="198">U63*$H63</f>
        <v>10015.027859420001</v>
      </c>
      <c r="U63" s="118">
        <f t="shared" ref="U63:U73" si="199">$U$6</f>
        <v>0.155</v>
      </c>
      <c r="V63" s="116">
        <f>VLOOKUP($B63,REPORTE!$B$3:$AS$200,35,FALSE)/1000000</f>
        <v>10787.303869689998</v>
      </c>
      <c r="W63" s="117">
        <f t="shared" ref="W63:W72" si="200">IF(H63=0,"",IF(H63="","",V63/$H63))</f>
        <v>0.16695231638614555</v>
      </c>
      <c r="X63" s="113">
        <f t="shared" ref="X63:X73" si="201">W63/U63</f>
        <v>1.0771117186202939</v>
      </c>
      <c r="Y63" s="110"/>
      <c r="Z63" s="116">
        <f>VLOOKUP($B63,REPORTE!$B$3:$AS$200,32,FALSE)/1000000</f>
        <v>13919.962773099998</v>
      </c>
      <c r="AA63" s="285">
        <f t="shared" ref="AA63:AA72" si="202">IF(F63=0,"",IF(F63="","",Z63/$F63))</f>
        <v>0.21543566928783883</v>
      </c>
      <c r="AB63" s="113">
        <f t="shared" ref="AB63:AB73" si="203">AA63/$J63</f>
        <v>0.61546830561665178</v>
      </c>
      <c r="AC63" s="116">
        <f t="shared" ref="AC63:AC71" si="204">F63-Z63</f>
        <v>50693.120190900001</v>
      </c>
      <c r="AD63" s="116">
        <f>VLOOKUP($B63,REPORTE!$B$3:$AS$200,34,FALSE)/1000000</f>
        <v>11182.046675939999</v>
      </c>
      <c r="AE63" s="285">
        <f t="shared" ref="AE63:AE72" si="205">IF(F63=0,"",IF(F63="","",AD63/$F63))</f>
        <v>0.17306164886405773</v>
      </c>
      <c r="AF63" s="115">
        <f t="shared" ref="AF63:AF73" si="206">AE63/P63</f>
        <v>1.0681827007300335</v>
      </c>
      <c r="AH63" s="111">
        <f t="shared" si="155"/>
        <v>22616.86368911112</v>
      </c>
      <c r="AI63" s="111">
        <f t="shared" si="156"/>
        <v>10468.290366711421</v>
      </c>
      <c r="AJ63" s="111">
        <f>U63*$F63</f>
        <v>10015.027859420001</v>
      </c>
    </row>
    <row r="64" spans="1:39" s="41" customFormat="1" ht="25.5" customHeight="1">
      <c r="A64" s="109" t="s">
        <v>17</v>
      </c>
      <c r="B64" s="110" t="s">
        <v>259</v>
      </c>
      <c r="C64" s="111">
        <f>VLOOKUP(B64,REPORTE!$B$3:$AS$200,26,FALSE)/1000000</f>
        <v>11064.778861000001</v>
      </c>
      <c r="D64" s="111">
        <f>VLOOKUP(B64,REPORTE!$B$3:$AS$200,27,FALSE)/1000000</f>
        <v>0</v>
      </c>
      <c r="E64" s="111">
        <f>VLOOKUP(B64,REPORTE!$B$3:$AS$200,28,FALSE)/1000000</f>
        <v>0</v>
      </c>
      <c r="F64" s="111">
        <f>VLOOKUP(B64,REPORTE!$B$3:$AS$200,29,FALSE)/1000000</f>
        <v>11064.778861000001</v>
      </c>
      <c r="G64" s="116">
        <f>(VLOOKUP(B64,REPORTE!$B$3:$AS$200,30,FALSE)/1000000)</f>
        <v>0</v>
      </c>
      <c r="H64" s="116">
        <f t="shared" ref="H64:H72" si="207">F64-G64</f>
        <v>11064.778861000001</v>
      </c>
      <c r="I64" s="116">
        <f t="shared" si="189"/>
        <v>3873.0638404736937</v>
      </c>
      <c r="J64" s="117">
        <f t="shared" si="190"/>
        <v>0.3500353589645675</v>
      </c>
      <c r="K64" s="116">
        <f>VLOOKUP($B64,REPORTE!$B$3:$AS$200,32,FALSE)/1000000</f>
        <v>0</v>
      </c>
      <c r="L64" s="117">
        <f t="shared" si="191"/>
        <v>0</v>
      </c>
      <c r="M64" s="113">
        <f t="shared" si="192"/>
        <v>0</v>
      </c>
      <c r="N64" s="116">
        <f t="shared" si="193"/>
        <v>11064.778861000001</v>
      </c>
      <c r="O64" s="116">
        <f t="shared" si="194"/>
        <v>1792.6604434729456</v>
      </c>
      <c r="P64" s="117">
        <f t="shared" si="195"/>
        <v>0.1620150267793902</v>
      </c>
      <c r="Q64" s="116">
        <f>VLOOKUP($B64,REPORTE!$B$3:$AS$200,34,FALSE)/1000000</f>
        <v>0</v>
      </c>
      <c r="R64" s="117">
        <f t="shared" si="196"/>
        <v>0</v>
      </c>
      <c r="S64" s="113">
        <f t="shared" si="197"/>
        <v>0</v>
      </c>
      <c r="T64" s="116">
        <f t="shared" si="198"/>
        <v>1715.040723455</v>
      </c>
      <c r="U64" s="118">
        <f t="shared" si="199"/>
        <v>0.155</v>
      </c>
      <c r="V64" s="116">
        <f>VLOOKUP($B64,REPORTE!$B$3:$AS$200,35,FALSE)/1000000</f>
        <v>0</v>
      </c>
      <c r="W64" s="117">
        <f t="shared" si="200"/>
        <v>0</v>
      </c>
      <c r="X64" s="113">
        <f t="shared" si="201"/>
        <v>0</v>
      </c>
      <c r="Y64" s="110"/>
      <c r="Z64" s="116">
        <f>VLOOKUP($B64,REPORTE!$B$3:$AS$200,32,FALSE)/1000000</f>
        <v>0</v>
      </c>
      <c r="AA64" s="117">
        <f t="shared" si="202"/>
        <v>0</v>
      </c>
      <c r="AB64" s="113">
        <f t="shared" si="203"/>
        <v>0</v>
      </c>
      <c r="AC64" s="116">
        <f t="shared" si="204"/>
        <v>11064.778861000001</v>
      </c>
      <c r="AD64" s="116">
        <f>VLOOKUP($B64,REPORTE!$B$3:$AS$200,34,FALSE)/1000000</f>
        <v>0</v>
      </c>
      <c r="AE64" s="117">
        <f t="shared" si="205"/>
        <v>0</v>
      </c>
      <c r="AF64" s="115">
        <f t="shared" si="206"/>
        <v>0</v>
      </c>
      <c r="AH64" s="111">
        <f t="shared" si="155"/>
        <v>3873.0638404736937</v>
      </c>
      <c r="AI64" s="111">
        <f t="shared" si="156"/>
        <v>1792.6604434729456</v>
      </c>
      <c r="AJ64" s="111">
        <f t="shared" ref="AJ64:AJ73" si="208">U64*$F64</f>
        <v>1715.040723455</v>
      </c>
    </row>
    <row r="65" spans="1:40" s="41" customFormat="1" ht="25.5" customHeight="1">
      <c r="A65" s="109" t="s">
        <v>260</v>
      </c>
      <c r="B65" s="110" t="s">
        <v>260</v>
      </c>
      <c r="C65" s="111">
        <f>VLOOKUP(B65,REPORTE!$B$3:$AS$200,26,FALSE)/1000000</f>
        <v>36287.817921000002</v>
      </c>
      <c r="D65" s="111">
        <f>VLOOKUP(B65,REPORTE!$B$3:$AS$200,27,FALSE)/1000000</f>
        <v>0</v>
      </c>
      <c r="E65" s="111">
        <f>VLOOKUP(B65,REPORTE!$B$3:$AS$200,28,FALSE)/1000000</f>
        <v>0</v>
      </c>
      <c r="F65" s="111">
        <f>VLOOKUP(B65,REPORTE!$B$3:$AS$200,29,FALSE)/1000000</f>
        <v>36287.817921000002</v>
      </c>
      <c r="G65" s="116">
        <f>(VLOOKUP(B65,REPORTE!$B$3:$AS$200,30,FALSE)/1000000)</f>
        <v>0</v>
      </c>
      <c r="H65" s="116">
        <f t="shared" si="207"/>
        <v>36287.817921000002</v>
      </c>
      <c r="I65" s="116">
        <f t="shared" si="189"/>
        <v>12702.019372018101</v>
      </c>
      <c r="J65" s="117">
        <f t="shared" si="190"/>
        <v>0.3500353589645675</v>
      </c>
      <c r="K65" s="116">
        <f>VLOOKUP($B65,REPORTE!$B$3:$AS$200,32,FALSE)/1000000</f>
        <v>36287.817921000002</v>
      </c>
      <c r="L65" s="117">
        <f t="shared" si="191"/>
        <v>1</v>
      </c>
      <c r="M65" s="113">
        <f t="shared" ref="M65" si="209">L65/J65</f>
        <v>2.8568542416916958</v>
      </c>
      <c r="N65" s="116">
        <f t="shared" si="193"/>
        <v>0</v>
      </c>
      <c r="O65" s="116">
        <f t="shared" si="194"/>
        <v>5879.1717922364505</v>
      </c>
      <c r="P65" s="117">
        <f t="shared" si="195"/>
        <v>0.1620150267793902</v>
      </c>
      <c r="Q65" s="116">
        <f>VLOOKUP($B65,REPORTE!$B$3:$AS$200,34,FALSE)/1000000</f>
        <v>10722.454481000001</v>
      </c>
      <c r="R65" s="117">
        <f t="shared" si="196"/>
        <v>0.29548358361870097</v>
      </c>
      <c r="S65" s="113">
        <f t="shared" si="197"/>
        <v>1.8238035662028431</v>
      </c>
      <c r="T65" s="116">
        <f t="shared" si="198"/>
        <v>5624.6117777549998</v>
      </c>
      <c r="U65" s="118">
        <f t="shared" si="199"/>
        <v>0.155</v>
      </c>
      <c r="V65" s="116">
        <f>VLOOKUP($B65,REPORTE!$B$3:$AS$200,35,FALSE)/1000000</f>
        <v>9983.9544810000007</v>
      </c>
      <c r="W65" s="117">
        <f t="shared" si="200"/>
        <v>0.27513240125750904</v>
      </c>
      <c r="X65" s="113">
        <f t="shared" si="201"/>
        <v>1.7750477500484454</v>
      </c>
      <c r="Y65" s="110"/>
      <c r="Z65" s="116">
        <f>VLOOKUP($B65,REPORTE!$B$3:$AS$200,32,FALSE)/1000000</f>
        <v>36287.817921000002</v>
      </c>
      <c r="AA65" s="117">
        <f t="shared" si="202"/>
        <v>1</v>
      </c>
      <c r="AB65" s="113">
        <f t="shared" si="203"/>
        <v>2.8568542416916958</v>
      </c>
      <c r="AC65" s="116">
        <f t="shared" si="204"/>
        <v>0</v>
      </c>
      <c r="AD65" s="116">
        <f>VLOOKUP($B65,REPORTE!$B$3:$AS$200,34,FALSE)/1000000</f>
        <v>10722.454481000001</v>
      </c>
      <c r="AE65" s="117">
        <f t="shared" si="205"/>
        <v>0.29548358361870097</v>
      </c>
      <c r="AF65" s="115">
        <f t="shared" si="206"/>
        <v>1.8238035662028431</v>
      </c>
      <c r="AH65" s="111">
        <f t="shared" si="155"/>
        <v>12702.019372018101</v>
      </c>
      <c r="AI65" s="111">
        <f t="shared" si="156"/>
        <v>5879.1717922364505</v>
      </c>
      <c r="AJ65" s="111">
        <f t="shared" si="208"/>
        <v>5624.6117777549998</v>
      </c>
    </row>
    <row r="66" spans="1:40" s="41" customFormat="1" ht="25.5" customHeight="1">
      <c r="A66" s="109" t="s">
        <v>237</v>
      </c>
      <c r="B66" s="110" t="s">
        <v>253</v>
      </c>
      <c r="C66" s="111">
        <f>VLOOKUP(B66,REPORTE!$A$3:$AS$200,27,FALSE)/1000000</f>
        <v>56889</v>
      </c>
      <c r="D66" s="111">
        <f>VLOOKUP(B66,REPORTE!$A$3:$AS$200,28,FALSE)/1000000</f>
        <v>0</v>
      </c>
      <c r="E66" s="111">
        <f>VLOOKUP(B66,REPORTE!$A$3:$AS$200,29,FALSE)/1000000</f>
        <v>0</v>
      </c>
      <c r="F66" s="111">
        <f>VLOOKUP(B66,REPORTE!$A$3:$AS$200,30,FALSE)/1000000</f>
        <v>56889</v>
      </c>
      <c r="G66" s="116">
        <f>(VLOOKUP(B66,REPORTE!$A$3:$AS$200,31,FALSE)/1000000)</f>
        <v>0</v>
      </c>
      <c r="H66" s="116">
        <f t="shared" si="207"/>
        <v>56889</v>
      </c>
      <c r="I66" s="116">
        <f t="shared" si="189"/>
        <v>19913.161536135281</v>
      </c>
      <c r="J66" s="117">
        <f t="shared" si="190"/>
        <v>0.3500353589645675</v>
      </c>
      <c r="K66" s="116">
        <f>VLOOKUP($B66,REPORTE!$A$3:$AS$200,33,FALSE)/1000000</f>
        <v>15317.42771057</v>
      </c>
      <c r="L66" s="117">
        <f t="shared" si="191"/>
        <v>0.26925113309374399</v>
      </c>
      <c r="M66" s="113">
        <f t="shared" si="192"/>
        <v>0.76921124165915777</v>
      </c>
      <c r="N66" s="116">
        <f t="shared" si="193"/>
        <v>41571.572289429998</v>
      </c>
      <c r="O66" s="116">
        <f t="shared" si="194"/>
        <v>9216.8728584527289</v>
      </c>
      <c r="P66" s="117">
        <f t="shared" si="195"/>
        <v>0.1620150267793902</v>
      </c>
      <c r="Q66" s="116">
        <f>VLOOKUP($B66,REPORTE!$A$3:$AS$200,35,FALSE)/1000000</f>
        <v>9489.3795193400001</v>
      </c>
      <c r="R66" s="117">
        <f t="shared" si="196"/>
        <v>0.1668051735720438</v>
      </c>
      <c r="S66" s="113">
        <f t="shared" si="197"/>
        <v>1.029566064876045</v>
      </c>
      <c r="T66" s="116">
        <f t="shared" si="198"/>
        <v>8817.7950000000001</v>
      </c>
      <c r="U66" s="118">
        <f t="shared" si="199"/>
        <v>0.155</v>
      </c>
      <c r="V66" s="116">
        <f>VLOOKUP($B66,REPORTE!$A$3:$AS$200,36,FALSE)/1000000</f>
        <v>9489.3795193400001</v>
      </c>
      <c r="W66" s="117">
        <f t="shared" si="200"/>
        <v>0.1668051735720438</v>
      </c>
      <c r="X66" s="113">
        <f t="shared" si="201"/>
        <v>1.076162410142218</v>
      </c>
      <c r="Y66" s="110"/>
      <c r="Z66" s="116">
        <f>VLOOKUP($B66,REPORTE!$A$3:$AS$200,33,FALSE)/1000000</f>
        <v>15317.42771057</v>
      </c>
      <c r="AA66" s="117">
        <f t="shared" si="202"/>
        <v>0.26925113309374399</v>
      </c>
      <c r="AB66" s="113">
        <f t="shared" si="203"/>
        <v>0.76921124165915777</v>
      </c>
      <c r="AC66" s="116">
        <f t="shared" si="204"/>
        <v>41571.572289429998</v>
      </c>
      <c r="AD66" s="116">
        <f>VLOOKUP($B66,REPORTE!$A$3:$AS$200,35,FALSE)/1000000</f>
        <v>9489.3795193400001</v>
      </c>
      <c r="AE66" s="117">
        <f t="shared" si="205"/>
        <v>0.1668051735720438</v>
      </c>
      <c r="AF66" s="115">
        <f t="shared" si="206"/>
        <v>1.029566064876045</v>
      </c>
      <c r="AH66" s="111">
        <f t="shared" si="155"/>
        <v>19913.161536135281</v>
      </c>
      <c r="AI66" s="111">
        <f t="shared" si="156"/>
        <v>9216.8728584527289</v>
      </c>
      <c r="AJ66" s="111">
        <f t="shared" si="208"/>
        <v>8817.7950000000001</v>
      </c>
    </row>
    <row r="67" spans="1:40" s="41" customFormat="1" ht="25.5" customHeight="1">
      <c r="A67" s="109" t="s">
        <v>7</v>
      </c>
      <c r="B67" s="110" t="s">
        <v>248</v>
      </c>
      <c r="C67" s="111">
        <f>VLOOKUP(B67,REPORTE!$A$3:$AS$200,27,FALSE)/1000000</f>
        <v>80619.565000000002</v>
      </c>
      <c r="D67" s="111">
        <f>VLOOKUP(B67,REPORTE!$A$3:$AS$200,28,FALSE)/1000000</f>
        <v>0</v>
      </c>
      <c r="E67" s="111">
        <f>VLOOKUP(B67,REPORTE!$A$3:$AS$200,29,FALSE)/1000000</f>
        <v>0</v>
      </c>
      <c r="F67" s="111">
        <f>VLOOKUP(B67,REPORTE!$A$3:$AS$200,30,FALSE)/1000000</f>
        <v>80619.565000000002</v>
      </c>
      <c r="G67" s="116">
        <f>(VLOOKUP(B67,REPORTE!$A$3:$AS$200,31,FALSE)/1000000)</f>
        <v>4651.1000000000004</v>
      </c>
      <c r="H67" s="116">
        <f t="shared" si="207"/>
        <v>75968.464999999997</v>
      </c>
      <c r="I67" s="116">
        <f t="shared" si="189"/>
        <v>26591.64891626218</v>
      </c>
      <c r="J67" s="117">
        <f t="shared" si="190"/>
        <v>0.3500353589645675</v>
      </c>
      <c r="K67" s="116">
        <f>VLOOKUP($B67,REPORTE!$A$3:$AS$200,33,FALSE)/1000000</f>
        <v>24117.735328179999</v>
      </c>
      <c r="L67" s="117">
        <f t="shared" si="191"/>
        <v>0.31747035204910351</v>
      </c>
      <c r="M67" s="113">
        <f t="shared" si="192"/>
        <v>0.90696652186283733</v>
      </c>
      <c r="N67" s="116">
        <f t="shared" si="193"/>
        <v>51850.729671819994</v>
      </c>
      <c r="O67" s="116">
        <f t="shared" si="194"/>
        <v>12308.032891364166</v>
      </c>
      <c r="P67" s="117">
        <f t="shared" si="195"/>
        <v>0.1620150267793902</v>
      </c>
      <c r="Q67" s="116">
        <f>VLOOKUP($B67,REPORTE!$A$3:$AS$200,35,FALSE)/1000000</f>
        <v>14422.26613584</v>
      </c>
      <c r="R67" s="117">
        <f t="shared" si="196"/>
        <v>0.18984543304698864</v>
      </c>
      <c r="S67" s="113">
        <f t="shared" si="197"/>
        <v>1.1717766976361648</v>
      </c>
      <c r="T67" s="116">
        <f t="shared" si="198"/>
        <v>11775.112074999999</v>
      </c>
      <c r="U67" s="118">
        <f t="shared" si="199"/>
        <v>0.155</v>
      </c>
      <c r="V67" s="116">
        <f>VLOOKUP($B67,REPORTE!$A$3:$AS$200,36,FALSE)/1000000</f>
        <v>14389.257293840001</v>
      </c>
      <c r="W67" s="117">
        <f t="shared" si="200"/>
        <v>0.18941092588668207</v>
      </c>
      <c r="X67" s="113">
        <f t="shared" si="201"/>
        <v>1.2220059734624649</v>
      </c>
      <c r="Y67" s="110"/>
      <c r="Z67" s="116">
        <f>VLOOKUP($B67,REPORTE!$A$3:$AS$200,33,FALSE)/1000000</f>
        <v>24117.735328179999</v>
      </c>
      <c r="AA67" s="117">
        <f t="shared" si="202"/>
        <v>0.29915486802961538</v>
      </c>
      <c r="AB67" s="113">
        <f t="shared" si="203"/>
        <v>0.85464185365312617</v>
      </c>
      <c r="AC67" s="116">
        <f t="shared" si="204"/>
        <v>56501.82967182</v>
      </c>
      <c r="AD67" s="116">
        <f>VLOOKUP($B67,REPORTE!$A$3:$AS$200,35,FALSE)/1000000</f>
        <v>14422.26613584</v>
      </c>
      <c r="AE67" s="117">
        <f t="shared" si="205"/>
        <v>0.17889287961104727</v>
      </c>
      <c r="AF67" s="115">
        <f t="shared" si="206"/>
        <v>1.1041746137204855</v>
      </c>
      <c r="AH67" s="111">
        <f t="shared" si="155"/>
        <v>28219.698374342282</v>
      </c>
      <c r="AI67" s="111">
        <f t="shared" si="156"/>
        <v>13061.580982417789</v>
      </c>
      <c r="AJ67" s="111">
        <f t="shared" si="208"/>
        <v>12496.032575000001</v>
      </c>
    </row>
    <row r="68" spans="1:40" s="41" customFormat="1" ht="25.5" customHeight="1">
      <c r="A68" s="109" t="s">
        <v>8</v>
      </c>
      <c r="B68" s="110" t="s">
        <v>251</v>
      </c>
      <c r="C68" s="111">
        <f>VLOOKUP(B68,REPORTE!$A$3:$AS$200,27,FALSE)/1000000</f>
        <v>54952</v>
      </c>
      <c r="D68" s="111">
        <f>VLOOKUP(B68,REPORTE!$A$3:$AS$200,28,FALSE)/1000000</f>
        <v>0</v>
      </c>
      <c r="E68" s="111">
        <f>VLOOKUP(B68,REPORTE!$A$3:$AS$200,29,FALSE)/1000000</f>
        <v>0</v>
      </c>
      <c r="F68" s="111">
        <f>VLOOKUP(B68,REPORTE!$A$3:$AS$200,30,FALSE)/1000000</f>
        <v>54952</v>
      </c>
      <c r="G68" s="116">
        <f>(VLOOKUP(B68,REPORTE!$A$3:$AS$200,31,FALSE)/1000000)</f>
        <v>0</v>
      </c>
      <c r="H68" s="116">
        <f t="shared" si="207"/>
        <v>54952</v>
      </c>
      <c r="I68" s="116">
        <f t="shared" si="189"/>
        <v>19235.143045820914</v>
      </c>
      <c r="J68" s="117">
        <f t="shared" si="190"/>
        <v>0.3500353589645675</v>
      </c>
      <c r="K68" s="116">
        <f>VLOOKUP($B68,REPORTE!$A$3:$AS$200,33,FALSE)/1000000</f>
        <v>16923.446704530001</v>
      </c>
      <c r="L68" s="117">
        <f t="shared" si="191"/>
        <v>0.30796780289216047</v>
      </c>
      <c r="M68" s="113">
        <f t="shared" si="192"/>
        <v>0.87981912399694073</v>
      </c>
      <c r="N68" s="116">
        <f t="shared" si="193"/>
        <v>38028.553295470003</v>
      </c>
      <c r="O68" s="116">
        <f t="shared" si="194"/>
        <v>8903.0497515810493</v>
      </c>
      <c r="P68" s="117">
        <f t="shared" si="195"/>
        <v>0.1620150267793902</v>
      </c>
      <c r="Q68" s="116">
        <f>VLOOKUP($B68,REPORTE!$A$3:$AS$200,35,FALSE)/1000000</f>
        <v>8676.8450198600003</v>
      </c>
      <c r="R68" s="117">
        <f t="shared" si="196"/>
        <v>0.15789862097576066</v>
      </c>
      <c r="S68" s="113">
        <f t="shared" si="197"/>
        <v>0.97459244438335524</v>
      </c>
      <c r="T68" s="116">
        <f t="shared" si="198"/>
        <v>8517.56</v>
      </c>
      <c r="U68" s="118">
        <f t="shared" si="199"/>
        <v>0.155</v>
      </c>
      <c r="V68" s="116">
        <f>VLOOKUP($B68,REPORTE!$A$3:$AS$200,36,FALSE)/1000000</f>
        <v>8676.8450198600003</v>
      </c>
      <c r="W68" s="117">
        <f t="shared" si="200"/>
        <v>0.15789862097576066</v>
      </c>
      <c r="X68" s="113">
        <f t="shared" si="201"/>
        <v>1.0187007804887784</v>
      </c>
      <c r="Y68" s="110"/>
      <c r="Z68" s="116">
        <f>VLOOKUP($B68,REPORTE!$A$3:$AS$200,33,FALSE)/1000000</f>
        <v>16923.446704530001</v>
      </c>
      <c r="AA68" s="117">
        <f t="shared" si="202"/>
        <v>0.30796780289216047</v>
      </c>
      <c r="AB68" s="113">
        <f t="shared" si="203"/>
        <v>0.87981912399694073</v>
      </c>
      <c r="AC68" s="116">
        <f t="shared" si="204"/>
        <v>38028.553295470003</v>
      </c>
      <c r="AD68" s="116">
        <f>VLOOKUP($B68,REPORTE!$A$3:$AS$200,35,FALSE)/1000000</f>
        <v>8676.8450198600003</v>
      </c>
      <c r="AE68" s="117">
        <f t="shared" si="205"/>
        <v>0.15789862097576066</v>
      </c>
      <c r="AF68" s="115">
        <f t="shared" si="206"/>
        <v>0.97459244438335524</v>
      </c>
      <c r="AH68" s="111">
        <f t="shared" si="155"/>
        <v>19235.143045820914</v>
      </c>
      <c r="AI68" s="111">
        <f t="shared" si="156"/>
        <v>8903.0497515810493</v>
      </c>
      <c r="AJ68" s="111">
        <f t="shared" si="208"/>
        <v>8517.56</v>
      </c>
    </row>
    <row r="69" spans="1:40" s="41" customFormat="1" ht="25.5" customHeight="1">
      <c r="A69" s="109" t="s">
        <v>9</v>
      </c>
      <c r="B69" s="110" t="s">
        <v>250</v>
      </c>
      <c r="C69" s="111">
        <f>VLOOKUP(B69,REPORTE!$A$3:$AS$200,27,FALSE)/1000000</f>
        <v>82511.565000000002</v>
      </c>
      <c r="D69" s="111">
        <f>VLOOKUP(B69,REPORTE!$A$3:$AS$200,28,FALSE)/1000000</f>
        <v>0</v>
      </c>
      <c r="E69" s="111">
        <f>VLOOKUP(B69,REPORTE!$A$3:$AS$200,29,FALSE)/1000000</f>
        <v>0</v>
      </c>
      <c r="F69" s="111">
        <f>VLOOKUP(B69,REPORTE!$A$3:$AS$200,30,FALSE)/1000000</f>
        <v>82511.565000000002</v>
      </c>
      <c r="G69" s="116">
        <f>(VLOOKUP(B69,REPORTE!$A$3:$AS$200,31,FALSE)/1000000)</f>
        <v>0</v>
      </c>
      <c r="H69" s="116">
        <f t="shared" si="207"/>
        <v>82511.565000000002</v>
      </c>
      <c r="I69" s="116">
        <f t="shared" si="189"/>
        <v>28881.965273503243</v>
      </c>
      <c r="J69" s="117">
        <f t="shared" si="190"/>
        <v>0.3500353589645675</v>
      </c>
      <c r="K69" s="116">
        <f>VLOOKUP($B69,REPORTE!$A$3:$AS$200,33,FALSE)/1000000</f>
        <v>81100.574084000007</v>
      </c>
      <c r="L69" s="117">
        <f t="shared" si="191"/>
        <v>0.98289947698846825</v>
      </c>
      <c r="M69" s="113">
        <f t="shared" si="192"/>
        <v>2.8080005399910548</v>
      </c>
      <c r="N69" s="116">
        <f t="shared" si="193"/>
        <v>1410.9909159999952</v>
      </c>
      <c r="O69" s="116">
        <f t="shared" si="194"/>
        <v>13368.113413084395</v>
      </c>
      <c r="P69" s="117">
        <f t="shared" si="195"/>
        <v>0.1620150267793902</v>
      </c>
      <c r="Q69" s="116">
        <f>VLOOKUP($B69,REPORTE!$A$3:$AS$200,35,FALSE)/1000000</f>
        <v>81100.574084000007</v>
      </c>
      <c r="R69" s="117">
        <f t="shared" si="196"/>
        <v>0.98289947698846825</v>
      </c>
      <c r="S69" s="113">
        <f t="shared" si="197"/>
        <v>6.0667179861460978</v>
      </c>
      <c r="T69" s="116">
        <f t="shared" si="198"/>
        <v>12789.292574999999</v>
      </c>
      <c r="U69" s="118">
        <f t="shared" si="199"/>
        <v>0.155</v>
      </c>
      <c r="V69" s="116">
        <f>VLOOKUP($B69,REPORTE!$A$3:$AS$200,36,FALSE)/1000000</f>
        <v>81100.574084000007</v>
      </c>
      <c r="W69" s="117">
        <f t="shared" si="200"/>
        <v>0.98289947698846825</v>
      </c>
      <c r="X69" s="113">
        <f t="shared" si="201"/>
        <v>6.3412869483126988</v>
      </c>
      <c r="Y69" s="110"/>
      <c r="Z69" s="116">
        <f>VLOOKUP($B69,REPORTE!$A$3:$AS$200,33,FALSE)/1000000</f>
        <v>81100.574084000007</v>
      </c>
      <c r="AA69" s="117">
        <f t="shared" si="202"/>
        <v>0.98289947698846825</v>
      </c>
      <c r="AB69" s="113">
        <f t="shared" si="203"/>
        <v>2.8080005399910548</v>
      </c>
      <c r="AC69" s="116">
        <f t="shared" si="204"/>
        <v>1410.9909159999952</v>
      </c>
      <c r="AD69" s="116">
        <f>VLOOKUP($B69,REPORTE!$A$3:$AS$200,35,FALSE)/1000000</f>
        <v>81100.574084000007</v>
      </c>
      <c r="AE69" s="117">
        <f t="shared" si="205"/>
        <v>0.98289947698846825</v>
      </c>
      <c r="AF69" s="115">
        <f t="shared" si="206"/>
        <v>6.0667179861460978</v>
      </c>
      <c r="AH69" s="111">
        <f t="shared" si="155"/>
        <v>28881.965273503243</v>
      </c>
      <c r="AI69" s="111">
        <f t="shared" si="156"/>
        <v>13368.113413084395</v>
      </c>
      <c r="AJ69" s="111">
        <f t="shared" si="208"/>
        <v>12789.292574999999</v>
      </c>
    </row>
    <row r="70" spans="1:40" s="41" customFormat="1" ht="25.5" customHeight="1">
      <c r="A70" s="109" t="s">
        <v>261</v>
      </c>
      <c r="B70" s="110" t="s">
        <v>221</v>
      </c>
      <c r="C70" s="111">
        <f>VLOOKUP(B70,REPORTE!$B$3:$AS$200,26,FALSE)/1000000</f>
        <v>90596.826019999993</v>
      </c>
      <c r="D70" s="111">
        <f>VLOOKUP(B70,REPORTE!$B$3:$AS$200,27,FALSE)/1000000</f>
        <v>0</v>
      </c>
      <c r="E70" s="111">
        <f>VLOOKUP(B70,REPORTE!$B$3:$AS$200,28,FALSE)/1000000</f>
        <v>0</v>
      </c>
      <c r="F70" s="111">
        <f>VLOOKUP(B70,REPORTE!$B$3:$AS$200,29,FALSE)/1000000</f>
        <v>90596.826019999993</v>
      </c>
      <c r="G70" s="116">
        <f>(VLOOKUP(B70,REPORTE!$B$3:$AS$200,30,FALSE)/1000000)</f>
        <v>0</v>
      </c>
      <c r="H70" s="116">
        <f t="shared" si="207"/>
        <v>90596.826019999993</v>
      </c>
      <c r="I70" s="116">
        <f t="shared" si="189"/>
        <v>31712.092516961166</v>
      </c>
      <c r="J70" s="117">
        <f t="shared" si="190"/>
        <v>0.3500353589645675</v>
      </c>
      <c r="K70" s="116">
        <f>VLOOKUP($B70,REPORTE!$B$3:$AS$200,32,FALSE)/1000000</f>
        <v>24611.617483950002</v>
      </c>
      <c r="L70" s="117">
        <f t="shared" si="191"/>
        <v>0.27166092417538762</v>
      </c>
      <c r="M70" s="113">
        <f t="shared" si="192"/>
        <v>0.77609566353234227</v>
      </c>
      <c r="N70" s="116">
        <f t="shared" si="193"/>
        <v>65985.208536049991</v>
      </c>
      <c r="O70" s="116">
        <f t="shared" si="194"/>
        <v>14678.047193758053</v>
      </c>
      <c r="P70" s="117">
        <f t="shared" si="195"/>
        <v>0.1620150267793902</v>
      </c>
      <c r="Q70" s="116">
        <f>VLOOKUP($B70,REPORTE!$B$3:$AS$200,34,FALSE)/1000000</f>
        <v>22464.39826075</v>
      </c>
      <c r="R70" s="117">
        <f t="shared" si="196"/>
        <v>0.24796010244101488</v>
      </c>
      <c r="S70" s="113">
        <f t="shared" si="197"/>
        <v>1.5304759525710716</v>
      </c>
      <c r="T70" s="116">
        <f t="shared" si="198"/>
        <v>14042.508033099999</v>
      </c>
      <c r="U70" s="118">
        <f t="shared" si="199"/>
        <v>0.155</v>
      </c>
      <c r="V70" s="116">
        <f>VLOOKUP($B70,REPORTE!$B$3:$AS$200,35,FALSE)/1000000</f>
        <v>21572.10441675</v>
      </c>
      <c r="W70" s="117">
        <f t="shared" si="200"/>
        <v>0.23811103947491252</v>
      </c>
      <c r="X70" s="113">
        <f t="shared" si="201"/>
        <v>1.5362002546768549</v>
      </c>
      <c r="Y70" s="110"/>
      <c r="Z70" s="116">
        <f>VLOOKUP($B70,REPORTE!$B$3:$AS$200,32,FALSE)/1000000</f>
        <v>24611.617483950002</v>
      </c>
      <c r="AA70" s="117">
        <f t="shared" si="202"/>
        <v>0.27166092417538762</v>
      </c>
      <c r="AB70" s="113">
        <f t="shared" si="203"/>
        <v>0.77609566353234227</v>
      </c>
      <c r="AC70" s="116">
        <f t="shared" si="204"/>
        <v>65985.208536049991</v>
      </c>
      <c r="AD70" s="116">
        <f>VLOOKUP($B70,REPORTE!$B$3:$AS$200,34,FALSE)/1000000</f>
        <v>22464.39826075</v>
      </c>
      <c r="AE70" s="117">
        <f t="shared" si="205"/>
        <v>0.24796010244101488</v>
      </c>
      <c r="AF70" s="115">
        <f t="shared" si="206"/>
        <v>1.5304759525710716</v>
      </c>
      <c r="AH70" s="111">
        <f t="shared" si="155"/>
        <v>31712.092516961166</v>
      </c>
      <c r="AI70" s="111">
        <f t="shared" si="156"/>
        <v>14678.047193758053</v>
      </c>
      <c r="AJ70" s="111">
        <f t="shared" si="208"/>
        <v>14042.508033099999</v>
      </c>
      <c r="AK70" s="24"/>
      <c r="AL70" s="24"/>
      <c r="AM70" s="24"/>
    </row>
    <row r="71" spans="1:40" s="41" customFormat="1" ht="25.5" customHeight="1">
      <c r="A71" s="109" t="s">
        <v>262</v>
      </c>
      <c r="B71" s="110" t="s">
        <v>17</v>
      </c>
      <c r="C71" s="111">
        <f>VLOOKUP(B71,REPORTE!$B$3:$AS$200,26,FALSE)/1000000</f>
        <v>0</v>
      </c>
      <c r="D71" s="111">
        <f>VLOOKUP(B71,REPORTE!$B$3:$AS$200,27,FALSE)/1000000</f>
        <v>0</v>
      </c>
      <c r="E71" s="111">
        <f>VLOOKUP(B71,REPORTE!$B$3:$AS$200,28,FALSE)/1000000</f>
        <v>0</v>
      </c>
      <c r="F71" s="111">
        <f>VLOOKUP(B71,REPORTE!$B$3:$AS$200,29,FALSE)/1000000</f>
        <v>0</v>
      </c>
      <c r="G71" s="116">
        <f>(VLOOKUP(B71,REPORTE!$B$3:$AS$200,30,FALSE)/1000000)</f>
        <v>0</v>
      </c>
      <c r="H71" s="116">
        <f t="shared" si="207"/>
        <v>0</v>
      </c>
      <c r="I71" s="116">
        <f t="shared" si="189"/>
        <v>0</v>
      </c>
      <c r="J71" s="117">
        <f t="shared" si="190"/>
        <v>0.3500353589645675</v>
      </c>
      <c r="K71" s="116">
        <f>VLOOKUP($B71,REPORTE!$B$3:$AS$200,32,FALSE)/1000000</f>
        <v>0</v>
      </c>
      <c r="L71" s="117" t="str">
        <f t="shared" si="191"/>
        <v/>
      </c>
      <c r="M71" s="113" t="e">
        <f t="shared" si="192"/>
        <v>#VALUE!</v>
      </c>
      <c r="N71" s="116">
        <f>H71-K71</f>
        <v>0</v>
      </c>
      <c r="O71" s="116">
        <f t="shared" si="194"/>
        <v>0</v>
      </c>
      <c r="P71" s="117">
        <f t="shared" si="195"/>
        <v>0.1620150267793902</v>
      </c>
      <c r="Q71" s="116">
        <f>VLOOKUP($B71,REPORTE!$B$3:$AS$200,34,FALSE)/1000000</f>
        <v>0</v>
      </c>
      <c r="R71" s="117" t="str">
        <f t="shared" si="196"/>
        <v/>
      </c>
      <c r="S71" s="113" t="e">
        <f t="shared" si="197"/>
        <v>#VALUE!</v>
      </c>
      <c r="T71" s="116">
        <f t="shared" si="198"/>
        <v>0</v>
      </c>
      <c r="U71" s="118">
        <f t="shared" si="199"/>
        <v>0.155</v>
      </c>
      <c r="V71" s="116">
        <f>VLOOKUP($B71,REPORTE!$B$3:$AS$200,35,FALSE)/1000000</f>
        <v>0</v>
      </c>
      <c r="W71" s="117" t="str">
        <f t="shared" si="200"/>
        <v/>
      </c>
      <c r="X71" s="113" t="e">
        <f t="shared" si="201"/>
        <v>#VALUE!</v>
      </c>
      <c r="Y71" s="110"/>
      <c r="Z71" s="116">
        <f>VLOOKUP($B71,REPORTE!$B$3:$AS$200,32,FALSE)/1000000</f>
        <v>0</v>
      </c>
      <c r="AA71" s="117" t="str">
        <f t="shared" si="202"/>
        <v/>
      </c>
      <c r="AB71" s="113" t="e">
        <f t="shared" si="203"/>
        <v>#VALUE!</v>
      </c>
      <c r="AC71" s="116">
        <f t="shared" si="204"/>
        <v>0</v>
      </c>
      <c r="AD71" s="116">
        <f>VLOOKUP($B71,REPORTE!$B$3:$AS$200,34,FALSE)/1000000</f>
        <v>0</v>
      </c>
      <c r="AE71" s="117" t="str">
        <f t="shared" si="205"/>
        <v/>
      </c>
      <c r="AF71" s="115" t="e">
        <f t="shared" si="206"/>
        <v>#VALUE!</v>
      </c>
      <c r="AH71" s="111">
        <f t="shared" si="155"/>
        <v>0</v>
      </c>
      <c r="AI71" s="111">
        <f t="shared" si="156"/>
        <v>0</v>
      </c>
      <c r="AJ71" s="111">
        <f t="shared" si="208"/>
        <v>0</v>
      </c>
      <c r="AK71" s="13"/>
      <c r="AL71" s="13"/>
    </row>
    <row r="72" spans="1:40" s="41" customFormat="1" ht="25.5" hidden="1" customHeight="1">
      <c r="A72" s="109" t="s">
        <v>263</v>
      </c>
      <c r="B72" s="110" t="s">
        <v>9</v>
      </c>
      <c r="C72" s="116">
        <f>VLOOKUP(B72,REPORTE!$B$3:$AS$200,26,FALSE)/1000000</f>
        <v>0</v>
      </c>
      <c r="D72" s="116">
        <f>VLOOKUP(B72,REPORTE!$B$3:$AS$200,27,FALSE)/1000000</f>
        <v>0</v>
      </c>
      <c r="E72" s="116">
        <f>VLOOKUP(B72,REPORTE!$B$3:$AS$200,28,FALSE)/1000000</f>
        <v>0</v>
      </c>
      <c r="F72" s="116">
        <f>VLOOKUP(B72,REPORTE!$B$3:$AS$200,30,FALSE)/1000000</f>
        <v>0</v>
      </c>
      <c r="G72" s="116">
        <f>(VLOOKUP(B72,REPORTE!$B$3:$AS$200,30,FALSE)/1000000)</f>
        <v>0</v>
      </c>
      <c r="H72" s="116">
        <f t="shared" si="207"/>
        <v>0</v>
      </c>
      <c r="I72" s="116">
        <f t="shared" si="189"/>
        <v>0</v>
      </c>
      <c r="J72" s="117">
        <f t="shared" si="190"/>
        <v>0.3500353589645675</v>
      </c>
      <c r="K72" s="116">
        <f>VLOOKUP($B72,REPORTE!$B$3:$AS$200,32,FALSE)/1000000</f>
        <v>0</v>
      </c>
      <c r="L72" s="117" t="str">
        <f t="shared" si="191"/>
        <v/>
      </c>
      <c r="M72" s="113" t="e">
        <f t="shared" si="192"/>
        <v>#VALUE!</v>
      </c>
      <c r="N72" s="116">
        <f t="shared" si="193"/>
        <v>0</v>
      </c>
      <c r="O72" s="116">
        <f t="shared" si="194"/>
        <v>0</v>
      </c>
      <c r="P72" s="117">
        <f t="shared" si="195"/>
        <v>0.1620150267793902</v>
      </c>
      <c r="Q72" s="116">
        <f>VLOOKUP($B72,REPORTE!$B$3:$AS$200,34,FALSE)/1000000</f>
        <v>0</v>
      </c>
      <c r="R72" s="117" t="str">
        <f t="shared" si="196"/>
        <v/>
      </c>
      <c r="S72" s="113" t="e">
        <f t="shared" si="197"/>
        <v>#VALUE!</v>
      </c>
      <c r="T72" s="116">
        <f t="shared" si="198"/>
        <v>0</v>
      </c>
      <c r="U72" s="118">
        <f t="shared" si="199"/>
        <v>0.155</v>
      </c>
      <c r="V72" s="116">
        <f>VLOOKUP($B72,REPORTE!$B$3:$AS$200,35,FALSE)/1000000</f>
        <v>0</v>
      </c>
      <c r="W72" s="117" t="str">
        <f t="shared" si="200"/>
        <v/>
      </c>
      <c r="X72" s="113" t="e">
        <f t="shared" si="201"/>
        <v>#VALUE!</v>
      </c>
      <c r="Y72" s="110"/>
      <c r="Z72" s="116">
        <f>VLOOKUP($B72,REPORTE!$B$3:$AS$200,32,FALSE)/1000000</f>
        <v>0</v>
      </c>
      <c r="AA72" s="117" t="str">
        <f t="shared" si="202"/>
        <v/>
      </c>
      <c r="AB72" s="113" t="e">
        <f t="shared" si="203"/>
        <v>#VALUE!</v>
      </c>
      <c r="AC72" s="113"/>
      <c r="AD72" s="116">
        <f>VLOOKUP($B72,REPORTE!$B$3:$AS$200,34,FALSE)/1000000</f>
        <v>0</v>
      </c>
      <c r="AE72" s="117" t="str">
        <f t="shared" si="205"/>
        <v/>
      </c>
      <c r="AF72" s="115" t="e">
        <f t="shared" si="206"/>
        <v>#VALUE!</v>
      </c>
      <c r="AH72" s="111">
        <f t="shared" ref="AH72" si="210">J72*$F72</f>
        <v>0</v>
      </c>
      <c r="AI72" s="111">
        <f t="shared" ref="AI72:AI73" si="211">P72*$F72</f>
        <v>0</v>
      </c>
      <c r="AJ72" s="111">
        <f t="shared" si="208"/>
        <v>0</v>
      </c>
    </row>
    <row r="73" spans="1:40">
      <c r="A73" s="290" t="s">
        <v>245</v>
      </c>
      <c r="B73" s="291"/>
      <c r="C73" s="260">
        <f t="shared" ref="C73:E73" si="212">SUM(C63:C72)</f>
        <v>477534.63576600002</v>
      </c>
      <c r="D73" s="260">
        <f t="shared" si="212"/>
        <v>0</v>
      </c>
      <c r="E73" s="260">
        <f t="shared" si="212"/>
        <v>0</v>
      </c>
      <c r="F73" s="260">
        <f>SUM(F63:F72)</f>
        <v>477534.63576600002</v>
      </c>
      <c r="G73" s="260">
        <f t="shared" ref="G73:H73" si="213">SUM(G63:G72)</f>
        <v>4651.1000000000004</v>
      </c>
      <c r="H73" s="260">
        <f t="shared" si="213"/>
        <v>472883.53576599999</v>
      </c>
      <c r="I73" s="260">
        <f t="shared" si="189"/>
        <v>165525.95819028569</v>
      </c>
      <c r="J73" s="261">
        <f t="shared" si="190"/>
        <v>0.3500353589645675</v>
      </c>
      <c r="K73" s="260">
        <f>SUM(K63:K72)</f>
        <v>212278.58200533001</v>
      </c>
      <c r="L73" s="261">
        <f t="shared" ref="L73" si="214">IFERROR(K73/$H73,"")</f>
        <v>0.448902458956349</v>
      </c>
      <c r="M73" s="262">
        <f t="shared" si="192"/>
        <v>1.2824488939752781</v>
      </c>
      <c r="N73" s="260">
        <f>SUM(N63:N72)</f>
        <v>260604.95376066997</v>
      </c>
      <c r="O73" s="260">
        <f>SUM(O63:O72)</f>
        <v>76614.2387106612</v>
      </c>
      <c r="P73" s="261">
        <f t="shared" si="195"/>
        <v>0.1620150267793902</v>
      </c>
      <c r="Q73" s="260">
        <f>SUM(Q63:Q72)</f>
        <v>158057.96417673002</v>
      </c>
      <c r="R73" s="261">
        <f t="shared" ref="R73" si="215">IFERROR(Q73/$H73,"")</f>
        <v>0.33424289961945908</v>
      </c>
      <c r="S73" s="262">
        <f t="shared" si="197"/>
        <v>2.0630364125087306</v>
      </c>
      <c r="T73" s="260">
        <f>SUM(T63:T72)</f>
        <v>73296.948043729994</v>
      </c>
      <c r="U73" s="263">
        <f t="shared" si="199"/>
        <v>0.155</v>
      </c>
      <c r="V73" s="260">
        <f>SUM(V63:V72)</f>
        <v>155999.41868447998</v>
      </c>
      <c r="W73" s="261">
        <f t="shared" ref="W73" si="216">IFERROR(V73/$H73,"")</f>
        <v>0.32988972312555659</v>
      </c>
      <c r="X73" s="264">
        <f t="shared" si="201"/>
        <v>2.1283207943584297</v>
      </c>
      <c r="Y73" s="108"/>
      <c r="Z73" s="260">
        <f>SUM(Z63:Z72)</f>
        <v>212278.58200533001</v>
      </c>
      <c r="AA73" s="261">
        <f>IFERROR(Z73/$F73,"")</f>
        <v>0.44453023112097378</v>
      </c>
      <c r="AB73" s="262">
        <f t="shared" si="203"/>
        <v>1.2699580763381437</v>
      </c>
      <c r="AC73" s="260">
        <f>SUM(AC63:AC72)</f>
        <v>265256.05376067001</v>
      </c>
      <c r="AD73" s="260">
        <f>SUM(AD63:AD72)</f>
        <v>158057.96417673002</v>
      </c>
      <c r="AE73" s="261">
        <f>IFERROR(AD73/$F73,"")</f>
        <v>0.3309874349180843</v>
      </c>
      <c r="AF73" s="264">
        <f t="shared" si="206"/>
        <v>2.0429428152289697</v>
      </c>
      <c r="AH73" s="260">
        <f>J73*$F73</f>
        <v>167154.0076483658</v>
      </c>
      <c r="AI73" s="260">
        <f t="shared" si="211"/>
        <v>77367.786801714843</v>
      </c>
      <c r="AJ73" s="260">
        <f t="shared" si="208"/>
        <v>74017.868543730001</v>
      </c>
    </row>
    <row r="74" spans="1:40" ht="10.5" customHeight="1">
      <c r="A74" s="129"/>
      <c r="B74" s="124"/>
      <c r="C74" s="124"/>
      <c r="D74" s="124"/>
      <c r="E74" s="124"/>
      <c r="F74" s="124"/>
      <c r="G74" s="124"/>
      <c r="H74" s="124"/>
      <c r="I74" s="124"/>
      <c r="J74" s="130"/>
      <c r="K74" s="124"/>
      <c r="L74" s="124"/>
      <c r="M74" s="131"/>
      <c r="N74" s="124"/>
      <c r="O74" s="124"/>
      <c r="P74" s="130"/>
      <c r="Q74" s="124"/>
      <c r="R74" s="124"/>
      <c r="S74" s="131"/>
      <c r="T74" s="124"/>
      <c r="U74" s="124"/>
      <c r="V74" s="124"/>
      <c r="W74" s="124"/>
      <c r="X74" s="131"/>
      <c r="Y74" s="124"/>
      <c r="Z74" s="124"/>
      <c r="AA74" s="124"/>
      <c r="AB74" s="131"/>
      <c r="AC74" s="131"/>
      <c r="AD74" s="124"/>
      <c r="AE74" s="124"/>
      <c r="AF74" s="125"/>
      <c r="AH74" s="137"/>
      <c r="AI74" s="137"/>
    </row>
    <row r="75" spans="1:40" ht="26.25" customHeight="1">
      <c r="A75" s="292" t="s">
        <v>226</v>
      </c>
      <c r="B75" s="293"/>
      <c r="C75" s="293"/>
      <c r="D75" s="293"/>
      <c r="E75" s="293"/>
      <c r="F75" s="293"/>
      <c r="G75" s="293"/>
      <c r="H75" s="293"/>
      <c r="I75" s="294" t="s">
        <v>2</v>
      </c>
      <c r="J75" s="295"/>
      <c r="K75" s="295"/>
      <c r="L75" s="295"/>
      <c r="M75" s="295"/>
      <c r="N75" s="296" t="s">
        <v>367</v>
      </c>
      <c r="O75" s="298" t="s">
        <v>3</v>
      </c>
      <c r="P75" s="299"/>
      <c r="Q75" s="299"/>
      <c r="R75" s="299"/>
      <c r="S75" s="300"/>
      <c r="T75" s="301" t="s">
        <v>113</v>
      </c>
      <c r="U75" s="301"/>
      <c r="V75" s="301"/>
      <c r="W75" s="301"/>
      <c r="X75" s="302"/>
      <c r="Z75" s="299" t="s">
        <v>2</v>
      </c>
      <c r="AA75" s="299"/>
      <c r="AB75" s="300"/>
      <c r="AC75" s="296" t="s">
        <v>367</v>
      </c>
      <c r="AD75" s="299" t="s">
        <v>3</v>
      </c>
      <c r="AE75" s="299"/>
      <c r="AF75" s="308"/>
      <c r="AH75" s="319" t="s">
        <v>387</v>
      </c>
      <c r="AI75" s="320"/>
      <c r="AJ75" s="320"/>
    </row>
    <row r="76" spans="1:40" ht="33" customHeight="1">
      <c r="A76" s="256" t="s">
        <v>0</v>
      </c>
      <c r="B76" s="257" t="s">
        <v>243</v>
      </c>
      <c r="C76" s="255" t="s">
        <v>361</v>
      </c>
      <c r="D76" s="257" t="s">
        <v>355</v>
      </c>
      <c r="E76" s="257" t="s">
        <v>356</v>
      </c>
      <c r="F76" s="255" t="s">
        <v>1</v>
      </c>
      <c r="G76" s="255" t="s">
        <v>362</v>
      </c>
      <c r="H76" s="255" t="s">
        <v>358</v>
      </c>
      <c r="I76" s="255" t="s">
        <v>257</v>
      </c>
      <c r="J76" s="266" t="s">
        <v>4</v>
      </c>
      <c r="K76" s="255" t="s">
        <v>5</v>
      </c>
      <c r="L76" s="303" t="s">
        <v>4</v>
      </c>
      <c r="M76" s="304"/>
      <c r="N76" s="297"/>
      <c r="O76" s="255" t="str">
        <f>I76</f>
        <v>Meta</v>
      </c>
      <c r="P76" s="266" t="s">
        <v>4</v>
      </c>
      <c r="Q76" s="255" t="s">
        <v>5</v>
      </c>
      <c r="R76" s="303" t="s">
        <v>4</v>
      </c>
      <c r="S76" s="304"/>
      <c r="T76" s="255" t="str">
        <f>O76</f>
        <v>Meta</v>
      </c>
      <c r="U76" s="255" t="s">
        <v>4</v>
      </c>
      <c r="V76" s="255" t="s">
        <v>5</v>
      </c>
      <c r="W76" s="303" t="s">
        <v>4</v>
      </c>
      <c r="X76" s="305"/>
      <c r="Z76" s="255" t="s">
        <v>5</v>
      </c>
      <c r="AA76" s="303" t="s">
        <v>4</v>
      </c>
      <c r="AB76" s="304" t="s">
        <v>371</v>
      </c>
      <c r="AC76" s="297"/>
      <c r="AD76" s="255" t="s">
        <v>5</v>
      </c>
      <c r="AE76" s="303" t="s">
        <v>4</v>
      </c>
      <c r="AF76" s="309"/>
      <c r="AH76" s="267" t="s">
        <v>2</v>
      </c>
      <c r="AI76" s="267" t="s">
        <v>3</v>
      </c>
      <c r="AJ76" s="267" t="s">
        <v>113</v>
      </c>
    </row>
    <row r="77" spans="1:40" s="41" customFormat="1" ht="33.75">
      <c r="A77" s="119" t="s">
        <v>368</v>
      </c>
      <c r="B77" s="110" t="s">
        <v>264</v>
      </c>
      <c r="C77" s="111">
        <f>VLOOKUP(B77,REPORTE!$B$3:$AS$200,14,FALSE)/1000000</f>
        <v>139640.50398400001</v>
      </c>
      <c r="D77" s="111">
        <f>VLOOKUP(B77,REPORTE!$B$3:$AS$200,15,FALSE)/1000000</f>
        <v>0</v>
      </c>
      <c r="E77" s="111">
        <f>VLOOKUP(B77,REPORTE!$B$3:$AS$200,16,FALSE)/1000000</f>
        <v>0</v>
      </c>
      <c r="F77" s="111">
        <f>VLOOKUP(B77,REPORTE!$B$3:$AS$200,17,FALSE)/1000000</f>
        <v>139640.50398400001</v>
      </c>
      <c r="G77" s="116">
        <f>(VLOOKUP(B77,REPORTE!$B$3:$AS$200,18,FALSE)/1000000)</f>
        <v>0</v>
      </c>
      <c r="H77" s="116">
        <f>F77-G77</f>
        <v>139640.50398400001</v>
      </c>
      <c r="I77" s="116">
        <f t="shared" ref="I77:I87" si="217">J77*$H77</f>
        <v>48879.113938032562</v>
      </c>
      <c r="J77" s="117">
        <f t="shared" ref="J77:J87" si="218">$J$6</f>
        <v>0.3500353589645675</v>
      </c>
      <c r="K77" s="116">
        <f>VLOOKUP($B77,REPORTE!$B$3:$AS$200,20,FALSE)/1000000</f>
        <v>48352.100395829999</v>
      </c>
      <c r="L77" s="117">
        <f t="shared" ref="L77:L86" si="219">IF(H77=0,"",IF(H77="","",K77/$H77))</f>
        <v>0.34626128534576311</v>
      </c>
      <c r="M77" s="113">
        <f t="shared" ref="M77" si="220">L77/J77</f>
        <v>0.98921802177366192</v>
      </c>
      <c r="N77" s="116">
        <f t="shared" ref="N77:N86" si="221">H77-K77</f>
        <v>91288.403588170011</v>
      </c>
      <c r="O77" s="116">
        <f t="shared" ref="O77:O86" si="222">P77*$H77</f>
        <v>22623.859992455305</v>
      </c>
      <c r="P77" s="117">
        <f t="shared" ref="P77:P87" si="223">$P$6</f>
        <v>0.1620150267793902</v>
      </c>
      <c r="Q77" s="116">
        <f>VLOOKUP($B77,REPORTE!$B$3:$AS$200,22,FALSE)/1000000</f>
        <v>3761.2422243599999</v>
      </c>
      <c r="R77" s="117">
        <f t="shared" ref="R77:R86" si="224">IF(H77=0,"",IF(H77="","",Q77/$H77))</f>
        <v>2.6935180818245703E-2</v>
      </c>
      <c r="S77" s="113">
        <f t="shared" ref="S77:S87" si="225">R77/P77</f>
        <v>0.1662511271557689</v>
      </c>
      <c r="T77" s="116">
        <f t="shared" ref="T77:T86" si="226">U77*$H77</f>
        <v>21644.27811752</v>
      </c>
      <c r="U77" s="118">
        <f t="shared" ref="U77:U87" si="227">$U$6</f>
        <v>0.155</v>
      </c>
      <c r="V77" s="116">
        <f>VLOOKUP($B77,REPORTE!$B$3:$AS$200,23,FALSE)/1000000</f>
        <v>3761.2422243599999</v>
      </c>
      <c r="W77" s="117">
        <f t="shared" ref="W77:W86" si="228">IF(H77=0,"",IF(H77="","",V77/$H77))</f>
        <v>2.6935180818245703E-2</v>
      </c>
      <c r="X77" s="113">
        <f t="shared" ref="X77:X87" si="229">W77/U77</f>
        <v>0.17377536011771422</v>
      </c>
      <c r="Y77" s="110"/>
      <c r="Z77" s="116">
        <f>VLOOKUP($B77,REPORTE!$B$3:$AS$200,20,FALSE)/1000000</f>
        <v>48352.100395829999</v>
      </c>
      <c r="AA77" s="117">
        <f t="shared" ref="AA77:AA86" si="230">IF(F77=0,"",IF(F77="","",Z77/$F77))</f>
        <v>0.34626128534576311</v>
      </c>
      <c r="AB77" s="113">
        <f t="shared" ref="AB77:AB87" si="231">AA77/$J77</f>
        <v>0.98921802177366192</v>
      </c>
      <c r="AC77" s="116">
        <f t="shared" ref="AC77:AC84" si="232">F77-Z77</f>
        <v>91288.403588170011</v>
      </c>
      <c r="AD77" s="116">
        <f>VLOOKUP($B77,REPORTE!$B$3:$AS$200,22,FALSE)/1000000</f>
        <v>3761.2422243599999</v>
      </c>
      <c r="AE77" s="117">
        <f t="shared" ref="AE77:AE86" si="233">IF(F77=0,"",IF(F77="","",AD77/$F77))</f>
        <v>2.6935180818245703E-2</v>
      </c>
      <c r="AF77" s="115">
        <f t="shared" ref="AF77:AF87" si="234">AE77/P77</f>
        <v>0.1662511271557689</v>
      </c>
      <c r="AH77" s="111">
        <f>J77*$F77</f>
        <v>48879.113938032562</v>
      </c>
      <c r="AI77" s="111">
        <f t="shared" si="156"/>
        <v>22623.859992455305</v>
      </c>
      <c r="AJ77" s="111">
        <f t="shared" ref="AJ77:AJ87" si="235">U77*$F77</f>
        <v>21644.27811752</v>
      </c>
    </row>
    <row r="78" spans="1:40" s="41" customFormat="1" ht="25.5" customHeight="1">
      <c r="A78" s="109" t="s">
        <v>17</v>
      </c>
      <c r="B78" s="110" t="s">
        <v>259</v>
      </c>
      <c r="C78" s="111">
        <f>VLOOKUP(B78,REPORTE!$B$3:$AS$200,14,FALSE)/1000000</f>
        <v>43593.405896999997</v>
      </c>
      <c r="D78" s="111">
        <f>VLOOKUP(B78,REPORTE!$B$3:$AS$200,15,FALSE)/1000000</f>
        <v>0</v>
      </c>
      <c r="E78" s="111">
        <f>VLOOKUP(B78,REPORTE!$B$3:$AS$200,16,FALSE)/1000000</f>
        <v>0</v>
      </c>
      <c r="F78" s="111">
        <f>VLOOKUP(B78,REPORTE!$B$3:$AS$200,17,FALSE)/1000000</f>
        <v>43593.405896999997</v>
      </c>
      <c r="G78" s="116">
        <f>(VLOOKUP(B78,REPORTE!$B$3:$AS$200,18,FALSE)/1000000)</f>
        <v>35321.698236999997</v>
      </c>
      <c r="H78" s="116">
        <f t="shared" ref="H78:H79" si="236">F78-G78</f>
        <v>8271.70766</v>
      </c>
      <c r="I78" s="116">
        <f t="shared" si="217"/>
        <v>2895.3901600180625</v>
      </c>
      <c r="J78" s="117">
        <f t="shared" si="218"/>
        <v>0.3500353589645675</v>
      </c>
      <c r="K78" s="116">
        <f>VLOOKUP($B78,REPORTE!$B$3:$AS$200,20,FALSE)/1000000</f>
        <v>0</v>
      </c>
      <c r="L78" s="117">
        <f t="shared" si="219"/>
        <v>0</v>
      </c>
      <c r="M78" s="113">
        <f t="shared" ref="M78:M87" si="237">L78/J78</f>
        <v>0</v>
      </c>
      <c r="N78" s="116">
        <f t="shared" si="221"/>
        <v>8271.70766</v>
      </c>
      <c r="O78" s="116">
        <f t="shared" si="222"/>
        <v>1340.1409380461871</v>
      </c>
      <c r="P78" s="117">
        <f t="shared" si="223"/>
        <v>0.1620150267793902</v>
      </c>
      <c r="Q78" s="116">
        <f>VLOOKUP($B78,REPORTE!$B$3:$AS$200,22,FALSE)/1000000</f>
        <v>0</v>
      </c>
      <c r="R78" s="117">
        <f t="shared" si="224"/>
        <v>0</v>
      </c>
      <c r="S78" s="113">
        <f t="shared" si="225"/>
        <v>0</v>
      </c>
      <c r="T78" s="116">
        <f t="shared" si="226"/>
        <v>1282.1146873</v>
      </c>
      <c r="U78" s="118">
        <f t="shared" si="227"/>
        <v>0.155</v>
      </c>
      <c r="V78" s="116">
        <f>VLOOKUP($B78,REPORTE!$B$3:$AS$200,23,FALSE)/1000000</f>
        <v>0</v>
      </c>
      <c r="W78" s="117">
        <f t="shared" si="228"/>
        <v>0</v>
      </c>
      <c r="X78" s="113">
        <f t="shared" si="229"/>
        <v>0</v>
      </c>
      <c r="Y78" s="110"/>
      <c r="Z78" s="116">
        <f>VLOOKUP($B78,REPORTE!$B$3:$AS$200,20,FALSE)/1000000</f>
        <v>0</v>
      </c>
      <c r="AA78" s="117">
        <f t="shared" si="230"/>
        <v>0</v>
      </c>
      <c r="AB78" s="113">
        <f t="shared" si="231"/>
        <v>0</v>
      </c>
      <c r="AC78" s="116">
        <f t="shared" si="232"/>
        <v>43593.405896999997</v>
      </c>
      <c r="AD78" s="116">
        <f>VLOOKUP($B78,REPORTE!$B$3:$AS$200,22,FALSE)/1000000</f>
        <v>0</v>
      </c>
      <c r="AE78" s="117">
        <f t="shared" si="233"/>
        <v>0</v>
      </c>
      <c r="AF78" s="115">
        <f t="shared" si="234"/>
        <v>0</v>
      </c>
      <c r="AH78" s="111">
        <f t="shared" si="155"/>
        <v>15259.233481644487</v>
      </c>
      <c r="AI78" s="111">
        <f t="shared" si="156"/>
        <v>7062.7868238072815</v>
      </c>
      <c r="AJ78" s="111">
        <f t="shared" si="235"/>
        <v>6756.9779140349992</v>
      </c>
    </row>
    <row r="79" spans="1:40" s="41" customFormat="1" ht="25.5" customHeight="1">
      <c r="A79" s="109" t="s">
        <v>260</v>
      </c>
      <c r="B79" s="110" t="s">
        <v>260</v>
      </c>
      <c r="C79" s="111">
        <f>VLOOKUP(B79,REPORTE!$B$3:$AS$200,14,FALSE)/1000000</f>
        <v>40000</v>
      </c>
      <c r="D79" s="111">
        <f>VLOOKUP(B79,REPORTE!$B$3:$AS$200,15,FALSE)/1000000</f>
        <v>0</v>
      </c>
      <c r="E79" s="111">
        <f>VLOOKUP(B79,REPORTE!$B$3:$AS$200,16,FALSE)/1000000</f>
        <v>0</v>
      </c>
      <c r="F79" s="111">
        <f>VLOOKUP(B79,REPORTE!$B$3:$AS$200,17,FALSE)/1000000</f>
        <v>40000</v>
      </c>
      <c r="G79" s="116">
        <f>(VLOOKUP(B79,REPORTE!$B$3:$AS$200,18,FALSE)/1000000)</f>
        <v>0</v>
      </c>
      <c r="H79" s="116">
        <f t="shared" si="236"/>
        <v>40000</v>
      </c>
      <c r="I79" s="116">
        <f t="shared" si="217"/>
        <v>14001.414358582701</v>
      </c>
      <c r="J79" s="117">
        <f t="shared" si="218"/>
        <v>0.3500353589645675</v>
      </c>
      <c r="K79" s="116">
        <f>VLOOKUP($B79,REPORTE!$B$3:$AS$200,20,FALSE)/1000000</f>
        <v>40000</v>
      </c>
      <c r="L79" s="117">
        <f t="shared" si="219"/>
        <v>1</v>
      </c>
      <c r="M79" s="113">
        <f t="shared" ref="M79" si="238">L79/J79</f>
        <v>2.8568542416916958</v>
      </c>
      <c r="N79" s="116">
        <f t="shared" si="221"/>
        <v>0</v>
      </c>
      <c r="O79" s="116">
        <f t="shared" si="222"/>
        <v>6480.601071175608</v>
      </c>
      <c r="P79" s="117">
        <f t="shared" si="223"/>
        <v>0.1620150267793902</v>
      </c>
      <c r="Q79" s="116">
        <f>VLOOKUP($B79,REPORTE!$B$3:$AS$200,22,FALSE)/1000000</f>
        <v>10431.63736667</v>
      </c>
      <c r="R79" s="117">
        <f t="shared" si="224"/>
        <v>0.26079093416674998</v>
      </c>
      <c r="S79" s="113">
        <f t="shared" si="225"/>
        <v>1.6096712715534667</v>
      </c>
      <c r="T79" s="116">
        <f t="shared" si="226"/>
        <v>6200</v>
      </c>
      <c r="U79" s="118">
        <f t="shared" si="227"/>
        <v>0.155</v>
      </c>
      <c r="V79" s="116">
        <f>VLOOKUP($B79,REPORTE!$B$3:$AS$200,23,FALSE)/1000000</f>
        <v>10431.63736667</v>
      </c>
      <c r="W79" s="117">
        <f t="shared" si="228"/>
        <v>0.26079093416674998</v>
      </c>
      <c r="X79" s="113">
        <f t="shared" si="229"/>
        <v>1.682522155914516</v>
      </c>
      <c r="Y79" s="110"/>
      <c r="Z79" s="116">
        <f>VLOOKUP($B79,REPORTE!$B$3:$AS$200,20,FALSE)/1000000</f>
        <v>40000</v>
      </c>
      <c r="AA79" s="117">
        <f t="shared" si="230"/>
        <v>1</v>
      </c>
      <c r="AB79" s="113">
        <f t="shared" si="231"/>
        <v>2.8568542416916958</v>
      </c>
      <c r="AC79" s="116">
        <f t="shared" si="232"/>
        <v>0</v>
      </c>
      <c r="AD79" s="116">
        <f>VLOOKUP($B79,REPORTE!$B$3:$AS$200,22,FALSE)/1000000</f>
        <v>10431.63736667</v>
      </c>
      <c r="AE79" s="117">
        <f t="shared" si="233"/>
        <v>0.26079093416674998</v>
      </c>
      <c r="AF79" s="115">
        <f t="shared" si="234"/>
        <v>1.6096712715534667</v>
      </c>
      <c r="AH79" s="111">
        <f t="shared" si="155"/>
        <v>14001.414358582701</v>
      </c>
      <c r="AI79" s="111">
        <f t="shared" si="156"/>
        <v>6480.601071175608</v>
      </c>
      <c r="AJ79" s="111">
        <f t="shared" si="235"/>
        <v>6200</v>
      </c>
    </row>
    <row r="80" spans="1:40" s="41" customFormat="1" ht="25.5" customHeight="1">
      <c r="A80" s="109" t="s">
        <v>237</v>
      </c>
      <c r="B80" s="110" t="s">
        <v>253</v>
      </c>
      <c r="C80" s="111">
        <f>(VLOOKUP(B80,REPORTE!$A$3:$AS$200,15,FALSE))/1000000</f>
        <v>90010.744263999994</v>
      </c>
      <c r="D80" s="111">
        <f>(VLOOKUP(B80,REPORTE!$A$3:$AS$200,16,FALSE))/1000000</f>
        <v>0</v>
      </c>
      <c r="E80" s="111">
        <f>(VLOOKUP(B80,REPORTE!$A$3:$AS$200,17,FALSE))/1000000</f>
        <v>0</v>
      </c>
      <c r="F80" s="111">
        <f>(VLOOKUP(B80,REPORTE!$A$3:$AS$200,18,FALSE))/1000000</f>
        <v>90010.744263999994</v>
      </c>
      <c r="G80" s="116">
        <f>(VLOOKUP(B80,REPORTE!$A$3:$AS$200,19,FALSE))/1000000</f>
        <v>0</v>
      </c>
      <c r="H80" s="116">
        <f>F80-G80</f>
        <v>90010.744263999994</v>
      </c>
      <c r="I80" s="116">
        <f t="shared" si="217"/>
        <v>31506.943179117123</v>
      </c>
      <c r="J80" s="117">
        <f t="shared" si="218"/>
        <v>0.3500353589645675</v>
      </c>
      <c r="K80" s="116">
        <f>(VLOOKUP($B80,REPORTE!$A$3:$AS$200,21,FALSE))/1000000</f>
        <v>38598.884645949998</v>
      </c>
      <c r="L80" s="117">
        <f t="shared" si="219"/>
        <v>0.42882530259654472</v>
      </c>
      <c r="M80" s="113">
        <f t="shared" si="237"/>
        <v>1.2250913846676637</v>
      </c>
      <c r="N80" s="116">
        <f t="shared" si="221"/>
        <v>51411.859618049995</v>
      </c>
      <c r="O80" s="116">
        <f t="shared" si="222"/>
        <v>14583.093142364802</v>
      </c>
      <c r="P80" s="117">
        <f t="shared" si="223"/>
        <v>0.1620150267793902</v>
      </c>
      <c r="Q80" s="116">
        <f>(VLOOKUP($B80,REPORTE!$A$3:$AS$200,23,FALSE))/1000000</f>
        <v>1654.243318</v>
      </c>
      <c r="R80" s="117">
        <f t="shared" si="224"/>
        <v>1.8378287298104461E-2</v>
      </c>
      <c r="S80" s="113">
        <f t="shared" si="225"/>
        <v>0.11343569583289016</v>
      </c>
      <c r="T80" s="116">
        <f t="shared" si="226"/>
        <v>13951.665360919998</v>
      </c>
      <c r="U80" s="118">
        <f t="shared" si="227"/>
        <v>0.155</v>
      </c>
      <c r="V80" s="116">
        <f>(VLOOKUP($B80,REPORTE!$A$3:$AS$200,24,FALSE))/1000000</f>
        <v>1654.243318</v>
      </c>
      <c r="W80" s="117">
        <f t="shared" si="228"/>
        <v>1.8378287298104461E-2</v>
      </c>
      <c r="X80" s="113">
        <f t="shared" si="229"/>
        <v>0.11856959547164168</v>
      </c>
      <c r="Y80" s="110"/>
      <c r="Z80" s="116">
        <f>(VLOOKUP($B80,REPORTE!$A$3:$AS$200,21,FALSE))/1000000</f>
        <v>38598.884645949998</v>
      </c>
      <c r="AA80" s="117">
        <f t="shared" si="230"/>
        <v>0.42882530259654472</v>
      </c>
      <c r="AB80" s="113">
        <f t="shared" si="231"/>
        <v>1.2250913846676637</v>
      </c>
      <c r="AC80" s="116">
        <f t="shared" si="232"/>
        <v>51411.859618049995</v>
      </c>
      <c r="AD80" s="116">
        <f>(VLOOKUP($B80,REPORTE!$A$3:$AS$200,23,FALSE))/1000000</f>
        <v>1654.243318</v>
      </c>
      <c r="AE80" s="117">
        <f t="shared" si="233"/>
        <v>1.8378287298104461E-2</v>
      </c>
      <c r="AF80" s="115">
        <f t="shared" si="234"/>
        <v>0.11343569583289016</v>
      </c>
      <c r="AH80" s="111">
        <f t="shared" si="155"/>
        <v>31506.943179117123</v>
      </c>
      <c r="AI80" s="111">
        <f t="shared" si="156"/>
        <v>14583.093142364802</v>
      </c>
      <c r="AJ80" s="111">
        <f t="shared" si="235"/>
        <v>13951.665360919998</v>
      </c>
      <c r="AN80" s="42"/>
    </row>
    <row r="81" spans="1:40" s="41" customFormat="1" ht="25.5" customHeight="1">
      <c r="A81" s="109" t="s">
        <v>7</v>
      </c>
      <c r="B81" s="110" t="s">
        <v>248</v>
      </c>
      <c r="C81" s="111">
        <f>VLOOKUP(B81,REPORTE!$A$3:$AS$200,15,FALSE)/1000000</f>
        <v>3653.134329</v>
      </c>
      <c r="D81" s="111">
        <f>VLOOKUP(B81,REPORTE!$A$3:$AS$200,16,FALSE)/1000000</f>
        <v>0</v>
      </c>
      <c r="E81" s="111">
        <f>VLOOKUP(B81,REPORTE!$A$3:$AS$200,17,FALSE)/1000000</f>
        <v>0</v>
      </c>
      <c r="F81" s="111">
        <f>VLOOKUP(B81,REPORTE!$A$3:$AS$200,18,FALSE)/1000000</f>
        <v>3653.134329</v>
      </c>
      <c r="G81" s="116">
        <f>(VLOOKUP(B81,REPORTE!$A$3:$AS$200,19,FALSE)/1000000)</f>
        <v>0</v>
      </c>
      <c r="H81" s="116">
        <f t="shared" ref="H81:H86" si="239">F81-G81</f>
        <v>3653.134329</v>
      </c>
      <c r="I81" s="116">
        <f t="shared" si="217"/>
        <v>1278.7261861972995</v>
      </c>
      <c r="J81" s="117">
        <f t="shared" si="218"/>
        <v>0.3500353589645675</v>
      </c>
      <c r="K81" s="116">
        <f>VLOOKUP($B81,REPORTE!$A$3:$AS$200,21,FALSE)/1000000</f>
        <v>3190.0308260000002</v>
      </c>
      <c r="L81" s="117">
        <f t="shared" si="219"/>
        <v>0.87323118689512613</v>
      </c>
      <c r="M81" s="113">
        <f t="shared" si="237"/>
        <v>2.4946942202588152</v>
      </c>
      <c r="N81" s="116">
        <f>H81-K81</f>
        <v>463.10350299999982</v>
      </c>
      <c r="O81" s="116">
        <f t="shared" si="222"/>
        <v>591.86265614164461</v>
      </c>
      <c r="P81" s="117">
        <f t="shared" si="223"/>
        <v>0.1620150267793902</v>
      </c>
      <c r="Q81" s="116">
        <f>VLOOKUP($B81,REPORTE!$A$3:$AS$200,23,FALSE)/1000000</f>
        <v>545.21387500000003</v>
      </c>
      <c r="R81" s="117">
        <f t="shared" si="224"/>
        <v>0.14924550424326868</v>
      </c>
      <c r="S81" s="113">
        <f t="shared" si="225"/>
        <v>0.92118309770420681</v>
      </c>
      <c r="T81" s="116">
        <f t="shared" si="226"/>
        <v>566.23582099500004</v>
      </c>
      <c r="U81" s="118">
        <f t="shared" si="227"/>
        <v>0.155</v>
      </c>
      <c r="V81" s="116">
        <f>VLOOKUP($B81,REPORTE!$A$3:$AS$200,24,FALSE)/1000000</f>
        <v>545.21387500000003</v>
      </c>
      <c r="W81" s="117">
        <f t="shared" si="228"/>
        <v>0.14924550424326868</v>
      </c>
      <c r="X81" s="113">
        <f t="shared" si="229"/>
        <v>0.96287422092431407</v>
      </c>
      <c r="Y81" s="110"/>
      <c r="Z81" s="116">
        <f>VLOOKUP($B81,REPORTE!$A$3:$AS$200,21,FALSE)/1000000</f>
        <v>3190.0308260000002</v>
      </c>
      <c r="AA81" s="117">
        <f t="shared" si="230"/>
        <v>0.87323118689512613</v>
      </c>
      <c r="AB81" s="113">
        <f t="shared" si="231"/>
        <v>2.4946942202588152</v>
      </c>
      <c r="AC81" s="116">
        <f t="shared" si="232"/>
        <v>463.10350299999982</v>
      </c>
      <c r="AD81" s="116">
        <f>VLOOKUP($B81,REPORTE!$A$3:$AS$200,23,FALSE)/1000000</f>
        <v>545.21387500000003</v>
      </c>
      <c r="AE81" s="117">
        <f t="shared" si="233"/>
        <v>0.14924550424326868</v>
      </c>
      <c r="AF81" s="115">
        <f t="shared" si="234"/>
        <v>0.92118309770420681</v>
      </c>
      <c r="AH81" s="111">
        <f t="shared" si="155"/>
        <v>1278.7261861972995</v>
      </c>
      <c r="AI81" s="111">
        <f t="shared" si="156"/>
        <v>591.86265614164461</v>
      </c>
      <c r="AJ81" s="111">
        <f t="shared" si="235"/>
        <v>566.23582099500004</v>
      </c>
      <c r="AN81" s="42"/>
    </row>
    <row r="82" spans="1:40" s="41" customFormat="1" ht="25.5" customHeight="1">
      <c r="A82" s="109" t="s">
        <v>8</v>
      </c>
      <c r="B82" s="110" t="s">
        <v>251</v>
      </c>
      <c r="C82" s="111">
        <f>(VLOOKUP(B82,REPORTE!$A$3:$AS$200,15,FALSE)-VLOOKUP("IDEAM_Cred",REPORTE!$B$3:$AS$200,14,FALSE))/1000000</f>
        <v>35476.074634999997</v>
      </c>
      <c r="D82" s="111">
        <f>(VLOOKUP(B82,REPORTE!$A$3:$AS$200,16,FALSE)-VLOOKUP("IDEAM_Cred",REPORTE!$B$3:$AS$200,15,FALSE))/1000000</f>
        <v>0</v>
      </c>
      <c r="E82" s="111">
        <f>(VLOOKUP(B82,REPORTE!$A$3:$AS$200,17,FALSE)-VLOOKUP("IDEAM_Cred",REPORTE!$B$3:$AS$200,16,FALSE))/1000000</f>
        <v>0</v>
      </c>
      <c r="F82" s="111">
        <f>(VLOOKUP(B82,REPORTE!$A$3:$AS$200,18,FALSE)-VLOOKUP("IDEAM_Cred",REPORTE!$B$3:$AS$200,17,FALSE))/1000000</f>
        <v>35476.074634999997</v>
      </c>
      <c r="G82" s="116">
        <f>(VLOOKUP(B82,REPORTE!$A$3:$AS$200,19,FALSE)-VLOOKUP("IDEAM_Cred",REPORTE!$B$3:$AS$200,18,FALSE))/1000000</f>
        <v>0</v>
      </c>
      <c r="H82" s="116">
        <f t="shared" si="239"/>
        <v>35476.074634999997</v>
      </c>
      <c r="I82" s="116">
        <f t="shared" si="217"/>
        <v>12417.880519516011</v>
      </c>
      <c r="J82" s="117">
        <f t="shared" si="218"/>
        <v>0.3500353589645675</v>
      </c>
      <c r="K82" s="116">
        <f>(VLOOKUP($B82,REPORTE!$A$3:$AS$200,21,FALSE)-VLOOKUP("IDEAM_Cred",REPORTE!$B$3:$AS$200,20,FALSE))/1000000</f>
        <v>4982.3806919999997</v>
      </c>
      <c r="L82" s="117">
        <f t="shared" si="219"/>
        <v>0.14044340427349539</v>
      </c>
      <c r="M82" s="113">
        <f t="shared" si="237"/>
        <v>0.40122633521635692</v>
      </c>
      <c r="N82" s="116">
        <f t="shared" si="221"/>
        <v>30493.693942999998</v>
      </c>
      <c r="O82" s="116">
        <f t="shared" si="222"/>
        <v>5747.6571820171703</v>
      </c>
      <c r="P82" s="117">
        <f t="shared" si="223"/>
        <v>0.1620150267793902</v>
      </c>
      <c r="Q82" s="116">
        <f>(VLOOKUP($B82,REPORTE!$A$3:$AS$200,23,FALSE)-VLOOKUP("IDEAM_Cred",REPORTE!$B$3:$AS$200,22,FALSE))/1000000</f>
        <v>452.134274</v>
      </c>
      <c r="R82" s="117">
        <f t="shared" si="224"/>
        <v>1.2744766117780495E-2</v>
      </c>
      <c r="S82" s="113">
        <f t="shared" si="225"/>
        <v>7.8664099072332141E-2</v>
      </c>
      <c r="T82" s="116">
        <f t="shared" si="226"/>
        <v>5498.7915684249992</v>
      </c>
      <c r="U82" s="118">
        <f t="shared" si="227"/>
        <v>0.155</v>
      </c>
      <c r="V82" s="116">
        <f>(VLOOKUP($B82,REPORTE!$A$3:$AS$200,24,FALSE)-VLOOKUP("IDEAM_Cred",REPORTE!$B$3:$AS$200,23,FALSE))/1000000</f>
        <v>452.134274</v>
      </c>
      <c r="W82" s="117">
        <f t="shared" si="228"/>
        <v>1.2744766117780495E-2</v>
      </c>
      <c r="X82" s="113">
        <f t="shared" si="229"/>
        <v>8.2224297534067708E-2</v>
      </c>
      <c r="Y82" s="110"/>
      <c r="Z82" s="116">
        <f>(VLOOKUP($B82,REPORTE!$A$3:$AS$200,21,FALSE)-VLOOKUP("IDEAM_Cred",REPORTE!$B$3:$AS$200,20,FALSE))/1000000</f>
        <v>4982.3806919999997</v>
      </c>
      <c r="AA82" s="117">
        <f t="shared" si="230"/>
        <v>0.14044340427349539</v>
      </c>
      <c r="AB82" s="113">
        <f t="shared" si="231"/>
        <v>0.40122633521635692</v>
      </c>
      <c r="AC82" s="116">
        <f t="shared" si="232"/>
        <v>30493.693942999998</v>
      </c>
      <c r="AD82" s="116">
        <f>(VLOOKUP($B82,REPORTE!$A$3:$AS$200,23,FALSE)-VLOOKUP("IDEAM_Cred",REPORTE!$B$3:$AS$200,22,FALSE))/1000000</f>
        <v>452.134274</v>
      </c>
      <c r="AE82" s="117">
        <f t="shared" si="233"/>
        <v>1.2744766117780495E-2</v>
      </c>
      <c r="AF82" s="115">
        <f t="shared" si="234"/>
        <v>7.8664099072332141E-2</v>
      </c>
      <c r="AH82" s="111">
        <f t="shared" si="155"/>
        <v>12417.880519516011</v>
      </c>
      <c r="AI82" s="111">
        <f t="shared" si="156"/>
        <v>5747.6571820171703</v>
      </c>
      <c r="AJ82" s="111">
        <f t="shared" si="235"/>
        <v>5498.7915684249992</v>
      </c>
      <c r="AK82" s="42"/>
    </row>
    <row r="83" spans="1:40" s="41" customFormat="1" ht="25.5" customHeight="1">
      <c r="A83" s="109" t="s">
        <v>9</v>
      </c>
      <c r="B83" s="110" t="s">
        <v>250</v>
      </c>
      <c r="C83" s="111">
        <f>VLOOKUP(B83,REPORTE!$A$3:$AS$200,15,FALSE)/1000000</f>
        <v>532206.06445099995</v>
      </c>
      <c r="D83" s="111">
        <f>VLOOKUP(B83,REPORTE!$A$3:$AS$200,16,FALSE)/1000000</f>
        <v>0</v>
      </c>
      <c r="E83" s="111">
        <f>VLOOKUP(B83,REPORTE!$A$3:$AS$200,17,FALSE)/1000000</f>
        <v>0</v>
      </c>
      <c r="F83" s="111">
        <f>VLOOKUP(B83,REPORTE!$A$3:$AS$200,18,FALSE)/1000000</f>
        <v>532206.06445099995</v>
      </c>
      <c r="G83" s="116">
        <f>(VLOOKUP(B83,REPORTE!$A$3:$AS$200,19,FALSE)/1000000)</f>
        <v>369679.86293800001</v>
      </c>
      <c r="H83" s="116">
        <f t="shared" si="239"/>
        <v>162526.20151299995</v>
      </c>
      <c r="I83" s="116">
        <f t="shared" si="217"/>
        <v>56889.91728775057</v>
      </c>
      <c r="J83" s="117">
        <f t="shared" si="218"/>
        <v>0.3500353589645675</v>
      </c>
      <c r="K83" s="116">
        <f>VLOOKUP($B83,REPORTE!$A$3:$AS$200,21,FALSE)/1000000</f>
        <v>79677.281640059999</v>
      </c>
      <c r="L83" s="117">
        <f t="shared" si="219"/>
        <v>0.49024268639962565</v>
      </c>
      <c r="M83" s="113">
        <f t="shared" si="237"/>
        <v>1.4005518980991023</v>
      </c>
      <c r="N83" s="116">
        <f t="shared" si="221"/>
        <v>82848.91987293995</v>
      </c>
      <c r="O83" s="116">
        <f t="shared" si="222"/>
        <v>26331.686890481255</v>
      </c>
      <c r="P83" s="117">
        <f t="shared" si="223"/>
        <v>0.1620150267793902</v>
      </c>
      <c r="Q83" s="116">
        <f>VLOOKUP($B83,REPORTE!$A$3:$AS$200,23,FALSE)/1000000</f>
        <v>10377.135265139999</v>
      </c>
      <c r="R83" s="117">
        <f t="shared" si="224"/>
        <v>6.3848998921629055E-2</v>
      </c>
      <c r="S83" s="113">
        <f t="shared" si="225"/>
        <v>0.39409306772864872</v>
      </c>
      <c r="T83" s="116">
        <f t="shared" si="226"/>
        <v>25191.561234514993</v>
      </c>
      <c r="U83" s="118">
        <f t="shared" si="227"/>
        <v>0.155</v>
      </c>
      <c r="V83" s="116">
        <f>VLOOKUP($B83,REPORTE!$A$3:$AS$200,24,FALSE)/1000000</f>
        <v>10341.947733139999</v>
      </c>
      <c r="W83" s="117">
        <f t="shared" si="228"/>
        <v>6.3632495172249379E-2</v>
      </c>
      <c r="X83" s="113">
        <f t="shared" si="229"/>
        <v>0.41053222691773794</v>
      </c>
      <c r="Y83" s="110"/>
      <c r="Z83" s="116">
        <f>VLOOKUP($B83,REPORTE!$A$3:$AS$200,21,FALSE)/1000000</f>
        <v>79677.281640059999</v>
      </c>
      <c r="AA83" s="117">
        <f t="shared" si="230"/>
        <v>0.14971133732241765</v>
      </c>
      <c r="AB83" s="113">
        <f t="shared" si="231"/>
        <v>0.42770346905888512</v>
      </c>
      <c r="AC83" s="116">
        <f t="shared" si="232"/>
        <v>452528.78281093994</v>
      </c>
      <c r="AD83" s="116">
        <f>VLOOKUP($B83,REPORTE!$A$3:$AS$200,23,FALSE)/1000000</f>
        <v>10377.135265139999</v>
      </c>
      <c r="AE83" s="117">
        <f t="shared" si="233"/>
        <v>1.9498340883891636E-2</v>
      </c>
      <c r="AF83" s="115">
        <f t="shared" si="234"/>
        <v>0.12034896559589993</v>
      </c>
      <c r="AH83" s="111">
        <f t="shared" si="155"/>
        <v>186290.94081322552</v>
      </c>
      <c r="AI83" s="111">
        <f t="shared" si="156"/>
        <v>86225.379784182616</v>
      </c>
      <c r="AJ83" s="111">
        <f t="shared" si="235"/>
        <v>82491.939989904989</v>
      </c>
    </row>
    <row r="84" spans="1:40" s="41" customFormat="1" ht="25.5" customHeight="1">
      <c r="A84" s="109" t="s">
        <v>261</v>
      </c>
      <c r="B84" s="110" t="s">
        <v>221</v>
      </c>
      <c r="C84" s="111">
        <f>(VLOOKUP(B84,REPORTE!$B$3:$AS$200,14,FALSE)/1000000)</f>
        <v>15727.900967</v>
      </c>
      <c r="D84" s="111">
        <f>VLOOKUP(B84,REPORTE!$B$3:$AS$200,15,FALSE)/1000000</f>
        <v>0</v>
      </c>
      <c r="E84" s="111">
        <f>VLOOKUP(B84,REPORTE!$B$3:$AS$200,16,FALSE)/1000000</f>
        <v>0</v>
      </c>
      <c r="F84" s="111">
        <f>VLOOKUP(B84,REPORTE!$B$3:$AS$200,17,FALSE)/1000000</f>
        <v>15727.900967</v>
      </c>
      <c r="G84" s="116">
        <f>(VLOOKUP(B84,REPORTE!$B$3:$AS$200,18,FALSE)/1000000)</f>
        <v>0</v>
      </c>
      <c r="H84" s="116">
        <f t="shared" si="239"/>
        <v>15727.900967</v>
      </c>
      <c r="I84" s="116">
        <f t="shared" si="217"/>
        <v>5505.3214607430127</v>
      </c>
      <c r="J84" s="117">
        <f t="shared" si="218"/>
        <v>0.3500353589645675</v>
      </c>
      <c r="K84" s="116">
        <f>VLOOKUP($B84,REPORTE!$B$3:$AS$200,20,FALSE)/1000000</f>
        <v>15662.896876999999</v>
      </c>
      <c r="L84" s="117">
        <f t="shared" si="219"/>
        <v>0.99586695706334938</v>
      </c>
      <c r="M84" s="113">
        <f t="shared" ref="M84:M86" si="240">L84/J84</f>
        <v>2.8450467404470317</v>
      </c>
      <c r="N84" s="116">
        <f t="shared" si="221"/>
        <v>65.00409000000036</v>
      </c>
      <c r="O84" s="116">
        <f t="shared" si="222"/>
        <v>2548.1562963521019</v>
      </c>
      <c r="P84" s="117">
        <f t="shared" si="223"/>
        <v>0.1620150267793902</v>
      </c>
      <c r="Q84" s="116">
        <f>VLOOKUP($B84,REPORTE!$B$3:$AS$200,22,FALSE)/1000000</f>
        <v>27.376393</v>
      </c>
      <c r="R84" s="117">
        <f t="shared" si="224"/>
        <v>1.7406259778364995E-3</v>
      </c>
      <c r="S84" s="113">
        <f t="shared" si="225"/>
        <v>1.0743608246947641E-2</v>
      </c>
      <c r="T84" s="116">
        <f t="shared" si="226"/>
        <v>2437.8246498849999</v>
      </c>
      <c r="U84" s="118">
        <f t="shared" si="227"/>
        <v>0.155</v>
      </c>
      <c r="V84" s="116">
        <f>VLOOKUP($B84,REPORTE!$B$3:$AS$200,23,FALSE)/1000000</f>
        <v>27.376393</v>
      </c>
      <c r="W84" s="117">
        <f t="shared" si="228"/>
        <v>1.7406259778364995E-3</v>
      </c>
      <c r="X84" s="113">
        <f t="shared" si="229"/>
        <v>1.1229845018299997E-2</v>
      </c>
      <c r="Y84" s="110"/>
      <c r="Z84" s="116">
        <f>VLOOKUP($B84,REPORTE!$B$3:$AS$200,20,FALSE)/1000000</f>
        <v>15662.896876999999</v>
      </c>
      <c r="AA84" s="117">
        <f t="shared" si="230"/>
        <v>0.99586695706334938</v>
      </c>
      <c r="AB84" s="113">
        <f t="shared" si="231"/>
        <v>2.8450467404470317</v>
      </c>
      <c r="AC84" s="116">
        <f t="shared" si="232"/>
        <v>65.00409000000036</v>
      </c>
      <c r="AD84" s="116">
        <f>VLOOKUP($B84,REPORTE!$B$3:$AS$200,22,FALSE)/1000000</f>
        <v>27.376393</v>
      </c>
      <c r="AE84" s="117">
        <f t="shared" si="233"/>
        <v>1.7406259778364995E-3</v>
      </c>
      <c r="AF84" s="115">
        <f t="shared" si="234"/>
        <v>1.0743608246947641E-2</v>
      </c>
      <c r="AH84" s="111">
        <f t="shared" si="155"/>
        <v>5505.3214607430127</v>
      </c>
      <c r="AI84" s="111">
        <f t="shared" si="156"/>
        <v>2548.1562963521019</v>
      </c>
      <c r="AJ84" s="111">
        <f t="shared" si="235"/>
        <v>2437.8246498849999</v>
      </c>
      <c r="AK84" s="24"/>
      <c r="AL84" s="24"/>
      <c r="AM84" s="24"/>
    </row>
    <row r="85" spans="1:40" s="41" customFormat="1" ht="25.5" customHeight="1">
      <c r="A85" s="109" t="s">
        <v>262</v>
      </c>
      <c r="B85" s="110" t="s">
        <v>17</v>
      </c>
      <c r="C85" s="111">
        <f>VLOOKUP(B85,REPORTE!$B$3:$AS$200,14,FALSE)/1000000</f>
        <v>1900.5941029999999</v>
      </c>
      <c r="D85" s="111">
        <f>VLOOKUP(B85,REPORTE!$B$3:$AS$200,15,FALSE)/1000000</f>
        <v>0</v>
      </c>
      <c r="E85" s="111">
        <f>VLOOKUP(B85,REPORTE!$B$3:$AS$200,16,FALSE)/1000000</f>
        <v>0</v>
      </c>
      <c r="F85" s="111">
        <f>VLOOKUP(B85,REPORTE!$B$3:$AS$200,17,FALSE)/1000000</f>
        <v>1900.5941029999999</v>
      </c>
      <c r="G85" s="116">
        <f>(VLOOKUP(B85,REPORTE!$B$3:$AS$200,18,FALSE)/1000000)</f>
        <v>0</v>
      </c>
      <c r="H85" s="116">
        <f t="shared" si="239"/>
        <v>1900.5941029999999</v>
      </c>
      <c r="I85" s="116">
        <f t="shared" si="217"/>
        <v>665.27513908954518</v>
      </c>
      <c r="J85" s="117">
        <f t="shared" si="218"/>
        <v>0.3500353589645675</v>
      </c>
      <c r="K85" s="116">
        <f>VLOOKUP($B85,REPORTE!$B$3:$AS$200,20,FALSE)/1000000</f>
        <v>0</v>
      </c>
      <c r="L85" s="117">
        <f t="shared" si="219"/>
        <v>0</v>
      </c>
      <c r="M85" s="113">
        <f t="shared" si="240"/>
        <v>0</v>
      </c>
      <c r="N85" s="116">
        <f t="shared" si="221"/>
        <v>1900.5941029999999</v>
      </c>
      <c r="O85" s="116">
        <f t="shared" si="222"/>
        <v>307.9248044942961</v>
      </c>
      <c r="P85" s="117">
        <f t="shared" si="223"/>
        <v>0.1620150267793902</v>
      </c>
      <c r="Q85" s="116">
        <f>VLOOKUP($B85,REPORTE!$B$3:$AS$200,22,FALSE)/1000000</f>
        <v>0</v>
      </c>
      <c r="R85" s="117">
        <f t="shared" si="224"/>
        <v>0</v>
      </c>
      <c r="S85" s="113">
        <f t="shared" si="225"/>
        <v>0</v>
      </c>
      <c r="T85" s="116">
        <f t="shared" si="226"/>
        <v>294.59208596499997</v>
      </c>
      <c r="U85" s="118">
        <f t="shared" si="227"/>
        <v>0.155</v>
      </c>
      <c r="V85" s="116">
        <f>VLOOKUP($B85,REPORTE!$B$3:$AS$200,23,FALSE)/1000000</f>
        <v>0</v>
      </c>
      <c r="W85" s="117">
        <f t="shared" si="228"/>
        <v>0</v>
      </c>
      <c r="X85" s="113">
        <f t="shared" si="229"/>
        <v>0</v>
      </c>
      <c r="Y85" s="110"/>
      <c r="Z85" s="116">
        <f>VLOOKUP($B85,REPORTE!$B$3:$AS$200,20,FALSE)/1000000</f>
        <v>0</v>
      </c>
      <c r="AA85" s="117">
        <f t="shared" si="230"/>
        <v>0</v>
      </c>
      <c r="AB85" s="113">
        <f t="shared" si="231"/>
        <v>0</v>
      </c>
      <c r="AC85" s="116">
        <f>F85-Z85</f>
        <v>1900.5941029999999</v>
      </c>
      <c r="AD85" s="116">
        <f>VLOOKUP($B85,REPORTE!$B$3:$AS$200,22,FALSE)/1000000</f>
        <v>0</v>
      </c>
      <c r="AE85" s="117">
        <f t="shared" si="233"/>
        <v>0</v>
      </c>
      <c r="AF85" s="115">
        <f t="shared" si="234"/>
        <v>0</v>
      </c>
      <c r="AH85" s="111">
        <f>J85*$F85</f>
        <v>665.27513908954518</v>
      </c>
      <c r="AI85" s="111">
        <f t="shared" ref="AI85" si="241">P85*$F85</f>
        <v>307.9248044942961</v>
      </c>
      <c r="AJ85" s="111">
        <f t="shared" si="235"/>
        <v>294.59208596499997</v>
      </c>
      <c r="AK85" s="13"/>
      <c r="AL85" s="13"/>
    </row>
    <row r="86" spans="1:40" s="41" customFormat="1" ht="25.5" customHeight="1">
      <c r="A86" s="109" t="s">
        <v>263</v>
      </c>
      <c r="B86" s="110" t="s">
        <v>9</v>
      </c>
      <c r="C86" s="116">
        <f>VLOOKUP(B86,REPORTE!$B$3:$AS$200,14,FALSE)/1000000</f>
        <v>0</v>
      </c>
      <c r="D86" s="116">
        <f>VLOOKUP(B86,REPORTE!$B$3:$AS$200,15,FALSE)/1000000</f>
        <v>0</v>
      </c>
      <c r="E86" s="116">
        <f>VLOOKUP(B86,REPORTE!$B$3:$AS$200,16,FALSE)/1000000</f>
        <v>0</v>
      </c>
      <c r="F86" s="116">
        <f>VLOOKUP(B86,REPORTE!$B$3:$AS$200,17,FALSE)/1000000</f>
        <v>0</v>
      </c>
      <c r="G86" s="116">
        <f>(VLOOKUP(B86,REPORTE!$B$3:$AS$200,18,FALSE)/1000000)</f>
        <v>0</v>
      </c>
      <c r="H86" s="116">
        <f t="shared" si="239"/>
        <v>0</v>
      </c>
      <c r="I86" s="116">
        <f t="shared" si="217"/>
        <v>0</v>
      </c>
      <c r="J86" s="117">
        <f t="shared" si="218"/>
        <v>0.3500353589645675</v>
      </c>
      <c r="K86" s="116">
        <f>VLOOKUP($B86,REPORTE!$B$3:$AS$200,20,FALSE)/1000000</f>
        <v>0</v>
      </c>
      <c r="L86" s="117" t="str">
        <f t="shared" si="219"/>
        <v/>
      </c>
      <c r="M86" s="113" t="e">
        <f t="shared" si="240"/>
        <v>#VALUE!</v>
      </c>
      <c r="N86" s="116">
        <f t="shared" si="221"/>
        <v>0</v>
      </c>
      <c r="O86" s="116">
        <f t="shared" si="222"/>
        <v>0</v>
      </c>
      <c r="P86" s="117">
        <f t="shared" si="223"/>
        <v>0.1620150267793902</v>
      </c>
      <c r="Q86" s="116">
        <f>VLOOKUP($B86,REPORTE!$B$3:$AS$200,22,FALSE)/1000000</f>
        <v>0</v>
      </c>
      <c r="R86" s="117" t="str">
        <f t="shared" si="224"/>
        <v/>
      </c>
      <c r="S86" s="113" t="e">
        <f t="shared" si="225"/>
        <v>#VALUE!</v>
      </c>
      <c r="T86" s="116">
        <f t="shared" si="226"/>
        <v>0</v>
      </c>
      <c r="U86" s="118">
        <f t="shared" si="227"/>
        <v>0.155</v>
      </c>
      <c r="V86" s="116">
        <f>VLOOKUP($B86,REPORTE!$B$3:$AS$200,23,FALSE)/1000000</f>
        <v>0</v>
      </c>
      <c r="W86" s="117" t="str">
        <f t="shared" si="228"/>
        <v/>
      </c>
      <c r="X86" s="113" t="e">
        <f t="shared" si="229"/>
        <v>#VALUE!</v>
      </c>
      <c r="Y86" s="110"/>
      <c r="Z86" s="116">
        <f>VLOOKUP($B86,REPORTE!$B$3:$AS$200,20,FALSE)/1000000</f>
        <v>0</v>
      </c>
      <c r="AA86" s="117" t="str">
        <f t="shared" si="230"/>
        <v/>
      </c>
      <c r="AB86" s="113" t="e">
        <f t="shared" si="231"/>
        <v>#VALUE!</v>
      </c>
      <c r="AC86" s="116">
        <f>F86-Z86</f>
        <v>0</v>
      </c>
      <c r="AD86" s="116">
        <f>VLOOKUP($B86,REPORTE!$B$3:$AS$200,22,FALSE)/1000000</f>
        <v>0</v>
      </c>
      <c r="AE86" s="117" t="str">
        <f t="shared" si="233"/>
        <v/>
      </c>
      <c r="AF86" s="115" t="e">
        <f t="shared" si="234"/>
        <v>#VALUE!</v>
      </c>
      <c r="AH86" s="111">
        <f>J86*$F86</f>
        <v>0</v>
      </c>
      <c r="AI86" s="111">
        <f>P86*$F86</f>
        <v>0</v>
      </c>
      <c r="AJ86" s="111">
        <f t="shared" si="235"/>
        <v>0</v>
      </c>
    </row>
    <row r="87" spans="1:40">
      <c r="A87" s="290" t="s">
        <v>245</v>
      </c>
      <c r="B87" s="291"/>
      <c r="C87" s="260">
        <f>SUM(C77:C86)</f>
        <v>902208.42263000004</v>
      </c>
      <c r="D87" s="260">
        <f>SUM(D77:D86)</f>
        <v>0</v>
      </c>
      <c r="E87" s="260">
        <f>SUM(E77:E86)</f>
        <v>0</v>
      </c>
      <c r="F87" s="260">
        <f>SUM(F77:F86)</f>
        <v>902208.42263000004</v>
      </c>
      <c r="G87" s="260">
        <f t="shared" ref="G87" si="242">SUM(G77:G86)</f>
        <v>405001.56117499998</v>
      </c>
      <c r="H87" s="260">
        <f t="shared" ref="H87" si="243">SUM(H77:H86)</f>
        <v>497206.86145499995</v>
      </c>
      <c r="I87" s="260">
        <f t="shared" si="217"/>
        <v>174039.98222904687</v>
      </c>
      <c r="J87" s="261">
        <f t="shared" si="218"/>
        <v>0.3500353589645675</v>
      </c>
      <c r="K87" s="260">
        <f>SUM(K77:K86)</f>
        <v>230463.57507684</v>
      </c>
      <c r="L87" s="261">
        <f t="shared" ref="L87" si="244">IFERROR(K87/$H87,"")</f>
        <v>0.46351648165599235</v>
      </c>
      <c r="M87" s="262">
        <f t="shared" si="237"/>
        <v>1.3241990267129329</v>
      </c>
      <c r="N87" s="260">
        <f>SUM(N77:N86)</f>
        <v>266743.28637815994</v>
      </c>
      <c r="O87" s="260">
        <f>SUM(O77:O86)</f>
        <v>80554.982973528371</v>
      </c>
      <c r="P87" s="261">
        <f t="shared" si="223"/>
        <v>0.1620150267793902</v>
      </c>
      <c r="Q87" s="260">
        <f>SUM(Q77:Q86)</f>
        <v>27248.982716170001</v>
      </c>
      <c r="R87" s="261">
        <f t="shared" ref="R87" si="245">IFERROR(Q87/$H87,"")</f>
        <v>5.4804116412291687E-2</v>
      </c>
      <c r="S87" s="262">
        <f t="shared" si="225"/>
        <v>0.33826563808131455</v>
      </c>
      <c r="T87" s="260">
        <f>SUM(T77:T86)</f>
        <v>77067.063525525009</v>
      </c>
      <c r="U87" s="263">
        <f t="shared" si="227"/>
        <v>0.155</v>
      </c>
      <c r="V87" s="260">
        <f>SUM(V77:V86)</f>
        <v>27213.795184169998</v>
      </c>
      <c r="W87" s="261">
        <f t="shared" ref="W87" si="246">IFERROR(V87/$H87,"")</f>
        <v>5.4733346005187825E-2</v>
      </c>
      <c r="X87" s="264">
        <f t="shared" si="229"/>
        <v>0.35311836132379243</v>
      </c>
      <c r="Y87" s="108"/>
      <c r="Z87" s="260">
        <f>SUM(Z77:Z86)</f>
        <v>230463.57507684</v>
      </c>
      <c r="AA87" s="261">
        <f>IFERROR(Z87/$F87,"")</f>
        <v>0.25544383015736288</v>
      </c>
      <c r="AB87" s="262">
        <f t="shared" si="231"/>
        <v>0.72976578969903527</v>
      </c>
      <c r="AC87" s="260">
        <f>SUM(AC77:AC86)</f>
        <v>671744.84755315993</v>
      </c>
      <c r="AD87" s="260">
        <f>SUM(AD77:AD85)</f>
        <v>27248.982716170001</v>
      </c>
      <c r="AE87" s="261">
        <f>IFERROR(AD87/$F87,"")</f>
        <v>3.0202536390357929E-2</v>
      </c>
      <c r="AF87" s="264">
        <f t="shared" si="234"/>
        <v>0.18641811806434222</v>
      </c>
      <c r="AH87" s="260">
        <f>J87*$F87</f>
        <v>315804.8490761483</v>
      </c>
      <c r="AI87" s="260">
        <f t="shared" ref="AI87" si="247">P87*$F87</f>
        <v>146171.32175299086</v>
      </c>
      <c r="AJ87" s="260">
        <f t="shared" si="235"/>
        <v>139842.30550765002</v>
      </c>
    </row>
    <row r="88" spans="1:40" ht="32.25" customHeight="1" thickBot="1">
      <c r="A88" s="328" t="s">
        <v>282</v>
      </c>
      <c r="B88" s="329"/>
      <c r="C88" s="329"/>
      <c r="D88" s="329"/>
      <c r="E88" s="329"/>
      <c r="F88" s="329"/>
      <c r="G88" s="329"/>
      <c r="H88" s="329"/>
      <c r="I88" s="329"/>
      <c r="J88" s="329"/>
      <c r="K88" s="329"/>
      <c r="L88" s="329"/>
      <c r="M88" s="329"/>
      <c r="N88" s="329"/>
      <c r="O88" s="329"/>
      <c r="P88" s="329"/>
      <c r="Q88" s="329"/>
      <c r="R88" s="329"/>
      <c r="S88" s="329"/>
      <c r="T88" s="329"/>
      <c r="U88" s="329"/>
      <c r="V88" s="329"/>
      <c r="W88" s="329"/>
      <c r="X88" s="329"/>
      <c r="Y88" s="329"/>
      <c r="Z88" s="329"/>
      <c r="AA88" s="329"/>
      <c r="AB88" s="329"/>
      <c r="AC88" s="329"/>
      <c r="AD88" s="329"/>
      <c r="AE88" s="329"/>
      <c r="AF88" s="330"/>
      <c r="AH88" s="24"/>
    </row>
    <row r="89" spans="1:40" ht="20.25" thickTop="1" thickBot="1">
      <c r="A89" s="24"/>
      <c r="C89" s="24"/>
      <c r="D89" s="24"/>
      <c r="E89" s="24"/>
      <c r="AD89" s="24"/>
    </row>
    <row r="90" spans="1:40" ht="65.25" customHeight="1" thickTop="1">
      <c r="A90" s="314" t="s">
        <v>538</v>
      </c>
      <c r="B90" s="315"/>
      <c r="C90" s="315"/>
      <c r="D90" s="315"/>
      <c r="E90" s="315"/>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6"/>
      <c r="AH90" s="24"/>
    </row>
    <row r="91" spans="1:40" ht="18" customHeight="1">
      <c r="A91" s="23"/>
      <c r="B91" s="20"/>
      <c r="C91" s="20"/>
      <c r="D91" s="20"/>
      <c r="E91" s="20"/>
      <c r="F91" s="20"/>
      <c r="G91" s="20"/>
      <c r="H91" s="20"/>
      <c r="I91" s="20"/>
      <c r="J91" s="63"/>
      <c r="K91" s="20"/>
      <c r="L91" s="20"/>
      <c r="M91" s="58"/>
      <c r="N91" s="20"/>
      <c r="O91" s="310" t="s">
        <v>283</v>
      </c>
      <c r="P91" s="310"/>
      <c r="Q91" s="318">
        <f>$C$3</f>
        <v>45026</v>
      </c>
      <c r="R91" s="318"/>
      <c r="S91" s="318"/>
      <c r="T91" s="93"/>
      <c r="Z91" s="20"/>
      <c r="AA91" s="20"/>
      <c r="AB91" s="58"/>
      <c r="AC91" s="58"/>
      <c r="AF91" s="133"/>
    </row>
    <row r="92" spans="1:40" ht="26.25" customHeight="1">
      <c r="A92" s="292" t="s">
        <v>226</v>
      </c>
      <c r="B92" s="293"/>
      <c r="C92" s="293"/>
      <c r="D92" s="293"/>
      <c r="E92" s="293"/>
      <c r="F92" s="293"/>
      <c r="G92" s="293"/>
      <c r="H92" s="293"/>
      <c r="I92" s="294" t="s">
        <v>2</v>
      </c>
      <c r="J92" s="295"/>
      <c r="K92" s="295"/>
      <c r="L92" s="295"/>
      <c r="M92" s="295"/>
      <c r="N92" s="296" t="s">
        <v>367</v>
      </c>
      <c r="O92" s="298" t="s">
        <v>3</v>
      </c>
      <c r="P92" s="299"/>
      <c r="Q92" s="299"/>
      <c r="R92" s="299"/>
      <c r="S92" s="300"/>
      <c r="T92" s="301" t="s">
        <v>113</v>
      </c>
      <c r="U92" s="301"/>
      <c r="V92" s="301"/>
      <c r="W92" s="301"/>
      <c r="X92" s="302"/>
      <c r="Z92" s="299" t="s">
        <v>2</v>
      </c>
      <c r="AA92" s="299"/>
      <c r="AB92" s="300"/>
      <c r="AC92" s="296" t="s">
        <v>367</v>
      </c>
      <c r="AD92" s="299" t="s">
        <v>3</v>
      </c>
      <c r="AE92" s="299"/>
      <c r="AF92" s="308"/>
    </row>
    <row r="93" spans="1:40" ht="33" customHeight="1">
      <c r="A93" s="256" t="s">
        <v>0</v>
      </c>
      <c r="B93" s="257" t="s">
        <v>243</v>
      </c>
      <c r="C93" s="255" t="s">
        <v>361</v>
      </c>
      <c r="D93" s="257" t="s">
        <v>355</v>
      </c>
      <c r="E93" s="257" t="s">
        <v>356</v>
      </c>
      <c r="F93" s="255" t="s">
        <v>1</v>
      </c>
      <c r="G93" s="255" t="s">
        <v>362</v>
      </c>
      <c r="H93" s="255" t="s">
        <v>358</v>
      </c>
      <c r="I93" s="255" t="s">
        <v>257</v>
      </c>
      <c r="J93" s="266" t="s">
        <v>4</v>
      </c>
      <c r="K93" s="255" t="s">
        <v>5</v>
      </c>
      <c r="L93" s="303" t="s">
        <v>4</v>
      </c>
      <c r="M93" s="304"/>
      <c r="N93" s="297"/>
      <c r="O93" s="255" t="str">
        <f>I93</f>
        <v>Meta</v>
      </c>
      <c r="P93" s="266" t="s">
        <v>4</v>
      </c>
      <c r="Q93" s="255" t="s">
        <v>5</v>
      </c>
      <c r="R93" s="303" t="s">
        <v>4</v>
      </c>
      <c r="S93" s="304"/>
      <c r="T93" s="255" t="str">
        <f>O93</f>
        <v>Meta</v>
      </c>
      <c r="U93" s="255" t="s">
        <v>4</v>
      </c>
      <c r="V93" s="255" t="s">
        <v>5</v>
      </c>
      <c r="W93" s="303" t="s">
        <v>4</v>
      </c>
      <c r="X93" s="305"/>
      <c r="Z93" s="255" t="s">
        <v>5</v>
      </c>
      <c r="AA93" s="303" t="s">
        <v>4</v>
      </c>
      <c r="AB93" s="304" t="s">
        <v>371</v>
      </c>
      <c r="AC93" s="297"/>
      <c r="AD93" s="255" t="s">
        <v>5</v>
      </c>
      <c r="AE93" s="303" t="s">
        <v>4</v>
      </c>
      <c r="AF93" s="309"/>
    </row>
    <row r="94" spans="1:40" s="41" customFormat="1" ht="24" customHeight="1">
      <c r="A94" s="38" t="s">
        <v>18</v>
      </c>
      <c r="B94" s="34" t="s">
        <v>18</v>
      </c>
      <c r="C94" s="91">
        <f>VLOOKUP(B94,REPORTE!$B$3:$AV$200,14,FALSE)/1000000</f>
        <v>7800</v>
      </c>
      <c r="D94" s="35">
        <f>VLOOKUP(B94,REPORTE!$B$3:$AV$200,15,FALSE)/1000000</f>
        <v>0</v>
      </c>
      <c r="E94" s="35">
        <f>VLOOKUP(B94,REPORTE!$B$3:$AV$200,16,FALSE)/1000000</f>
        <v>0</v>
      </c>
      <c r="F94" s="35">
        <f>VLOOKUP(B94,REPORTE!$B$3:$AV$200,17,FALSE)/1000000</f>
        <v>7800</v>
      </c>
      <c r="G94" s="35">
        <f>(VLOOKUP(B94,REPORTE!$B$3:$AV$200,18,FALSE)/1000000)</f>
        <v>0</v>
      </c>
      <c r="H94" s="35">
        <f t="shared" ref="H94" si="248">F94-G94</f>
        <v>7800</v>
      </c>
      <c r="I94" s="35">
        <f t="shared" ref="I94" si="249">J94*$H94</f>
        <v>2730.2757999236264</v>
      </c>
      <c r="J94" s="36">
        <f t="shared" ref="J94:J107" si="250">$J$6</f>
        <v>0.3500353589645675</v>
      </c>
      <c r="K94" s="35">
        <f>VLOOKUP($B94,REPORTE!$B$3:$AV$200,20,FALSE)/1000000</f>
        <v>5731.4073840000001</v>
      </c>
      <c r="L94" s="36">
        <f t="shared" ref="L94" si="251">IF(H94=0,"",IF(H94="","",K94/$H94))</f>
        <v>0.73479581846153852</v>
      </c>
      <c r="M94" s="60">
        <f t="shared" ref="M94" si="252">L94/J94</f>
        <v>2.0992045507491675</v>
      </c>
      <c r="N94" s="35">
        <f t="shared" ref="N94" si="253">H94-K94</f>
        <v>2068.5926159999999</v>
      </c>
      <c r="O94" s="35">
        <f t="shared" ref="O94" si="254">P94*$H94</f>
        <v>1263.7172088792436</v>
      </c>
      <c r="P94" s="36">
        <f t="shared" ref="P94:P107" si="255">$P$6</f>
        <v>0.1620150267793902</v>
      </c>
      <c r="Q94" s="35">
        <f>VLOOKUP($B94,REPORTE!$B$3:$AV$200,22,FALSE)/1000000</f>
        <v>323.42125643999998</v>
      </c>
      <c r="R94" s="36">
        <f t="shared" ref="R94" si="256">IF(H94=0,"",IF(H94="","",Q94/$H94))</f>
        <v>4.1464263646153847E-2</v>
      </c>
      <c r="S94" s="60">
        <f t="shared" ref="S94" si="257">R94/P94</f>
        <v>0.25592850533928674</v>
      </c>
      <c r="T94" s="39">
        <f t="shared" ref="T94" si="258">U94*$H94</f>
        <v>1209</v>
      </c>
      <c r="U94" s="40">
        <f t="shared" ref="U94:U107" si="259">$U$6</f>
        <v>0.155</v>
      </c>
      <c r="V94" s="35">
        <f>VLOOKUP($B94,REPORTE!$B$3:$AV$200,23,FALSE)/1000000</f>
        <v>323.42125643999998</v>
      </c>
      <c r="W94" s="36">
        <f t="shared" ref="W94" si="260">IF(H94=0,"",IF(H94="","",V94/$H94))</f>
        <v>4.1464263646153847E-2</v>
      </c>
      <c r="X94" s="145">
        <f t="shared" ref="X94" si="261">W94/U94</f>
        <v>0.26751137836228289</v>
      </c>
      <c r="Z94" s="35">
        <f>VLOOKUP($B94,REPORTE!$B$3:$AV$200,20,FALSE)/1000000</f>
        <v>5731.4073840000001</v>
      </c>
      <c r="AA94" s="36">
        <f t="shared" ref="AA94" si="262">IF(F94=0,"",IF(F94="","",Z94/$F94))</f>
        <v>0.73479581846153852</v>
      </c>
      <c r="AB94" s="60">
        <f t="shared" ref="AB94" si="263">AA94/$J94</f>
        <v>2.0992045507491675</v>
      </c>
      <c r="AC94" s="35">
        <f t="shared" ref="AC94" si="264">F94-Z94</f>
        <v>2068.5926159999999</v>
      </c>
      <c r="AD94" s="35">
        <f>VLOOKUP($B94,REPORTE!$B$3:$AV$200,22,FALSE)/1000000</f>
        <v>323.42125643999998</v>
      </c>
      <c r="AE94" s="36">
        <f t="shared" ref="AE94" si="265">IF(F94=0,"",IF(F94="","",AD94/$F94))</f>
        <v>4.1464263646153847E-2</v>
      </c>
      <c r="AF94" s="127">
        <f t="shared" ref="AF94" si="266">AE94/P94</f>
        <v>0.25592850533928674</v>
      </c>
    </row>
    <row r="95" spans="1:40" s="41" customFormat="1" ht="24" customHeight="1">
      <c r="A95" s="38" t="s">
        <v>19</v>
      </c>
      <c r="B95" s="34" t="s">
        <v>19</v>
      </c>
      <c r="C95" s="91">
        <f>(VLOOKUP(B95,REPORTE!$B$3:$AV$200,14,FALSE)+VLOOKUP(B95&amp;"_Cred",REPORTE!$B$3:$AV$200,14,FALSE))/1000000</f>
        <v>7000</v>
      </c>
      <c r="D95" s="35">
        <f>(VLOOKUP(B95,REPORTE!$B$3:$AV$200,15,FALSE)+VLOOKUP(B95&amp;"_Cred",REPORTE!$B$3:$AV$200,15,FALSE))/1000000</f>
        <v>0</v>
      </c>
      <c r="E95" s="35">
        <f>(VLOOKUP(B95,REPORTE!$B$3:$AV$200,16,FALSE)+VLOOKUP(B95&amp;"_Cred",REPORTE!$B$3:$AV$200,16,FALSE))/1000000</f>
        <v>0</v>
      </c>
      <c r="F95" s="35">
        <f>(VLOOKUP(B95,REPORTE!$B$3:$AV$200,17,FALSE)+VLOOKUP(B95&amp;"_Cred",REPORTE!$B$3:$AV$200,17,FALSE))/1000000</f>
        <v>7000</v>
      </c>
      <c r="G95" s="35">
        <f>(VLOOKUP(B95,REPORTE!$B$3:$AV$200,18,FALSE)+VLOOKUP(B95&amp;"_Cred",REPORTE!$B$3:$AV$200,18,FALSE))/1000000</f>
        <v>0</v>
      </c>
      <c r="H95" s="35">
        <f>F95-G95</f>
        <v>7000</v>
      </c>
      <c r="I95" s="35">
        <f t="shared" ref="I95" si="267">J95*$H95</f>
        <v>2450.2475127519724</v>
      </c>
      <c r="J95" s="36">
        <f t="shared" si="250"/>
        <v>0.3500353589645675</v>
      </c>
      <c r="K95" s="35">
        <f>(VLOOKUP($B95,REPORTE!$B$3:$AV$200,20,FALSE)+VLOOKUP(B95&amp;"_Cred",REPORTE!$B$3:$AV$200,20,FALSE))/1000000</f>
        <v>1154.5968989999999</v>
      </c>
      <c r="L95" s="36">
        <f>IF(H95=0,"",IF(H95="","",K95/$H95))</f>
        <v>0.16494241414285712</v>
      </c>
      <c r="M95" s="60">
        <f t="shared" ref="M95" si="268">L95/J95</f>
        <v>0.47121643547888969</v>
      </c>
      <c r="N95" s="35">
        <f t="shared" ref="N95" si="269">H95-K95</f>
        <v>5845.4031009999999</v>
      </c>
      <c r="O95" s="35">
        <f t="shared" ref="O95" si="270">P95*$H95</f>
        <v>1134.1051874557313</v>
      </c>
      <c r="P95" s="36">
        <f t="shared" si="255"/>
        <v>0.1620150267793902</v>
      </c>
      <c r="Q95" s="35">
        <f>(VLOOKUP($B95,REPORTE!$B$3:$AV$200,22,FALSE)+VLOOKUP(B95&amp;"_Cred",REPORTE!$B$3:$AV$200,22,FALSE))/1000000</f>
        <v>70.694182999999995</v>
      </c>
      <c r="R95" s="36">
        <f t="shared" ref="R95" si="271">IF(H95=0,"",IF(H95="","",Q95/$H95))</f>
        <v>1.0099169E-2</v>
      </c>
      <c r="S95" s="60">
        <f t="shared" ref="S95" si="272">R95/P95</f>
        <v>6.2334767340758213E-2</v>
      </c>
      <c r="T95" s="39">
        <f t="shared" ref="T95" si="273">U95*$H95</f>
        <v>1085</v>
      </c>
      <c r="U95" s="40">
        <f t="shared" si="259"/>
        <v>0.155</v>
      </c>
      <c r="V95" s="35">
        <f>(VLOOKUP($B95,REPORTE!$B$3:$AV$200,23,FALSE)+VLOOKUP(B95&amp;"_Cred",REPORTE!$B$3:$AV$200,23,FALSE))/1000000</f>
        <v>70.694182999999995</v>
      </c>
      <c r="W95" s="36">
        <f t="shared" ref="W95" si="274">IF(H95=0,"",IF(H95="","",V95/$H95))</f>
        <v>1.0099169E-2</v>
      </c>
      <c r="X95" s="145">
        <f t="shared" ref="X95" si="275">W95/U95</f>
        <v>6.5155929032258059E-2</v>
      </c>
      <c r="Z95" s="35">
        <f>(VLOOKUP($B95,REPORTE!$B$3:$AV$200,20,FALSE)+VLOOKUP(B95&amp;"_Cred",REPORTE!$B$3:$AV$200,20,FALSE))/1000000</f>
        <v>1154.5968989999999</v>
      </c>
      <c r="AA95" s="36">
        <f t="shared" ref="AA95" si="276">IF(F95=0,"",IF(F95="","",Z95/$F95))</f>
        <v>0.16494241414285712</v>
      </c>
      <c r="AB95" s="60">
        <f t="shared" ref="AB95" si="277">AA95/$J95</f>
        <v>0.47121643547888969</v>
      </c>
      <c r="AC95" s="35">
        <f t="shared" ref="AC95" si="278">F95-Z95</f>
        <v>5845.4031009999999</v>
      </c>
      <c r="AD95" s="35">
        <f>(VLOOKUP($B95,REPORTE!$B$3:$AV$200,22,FALSE)+VLOOKUP(B95&amp;"_Cred",REPORTE!$B$3:$AV$200,22,FALSE))/1000000</f>
        <v>70.694182999999995</v>
      </c>
      <c r="AE95" s="36">
        <f t="shared" ref="AE95" si="279">IF(F95=0,"",IF(F95="","",AD95/$F95))</f>
        <v>1.0099169E-2</v>
      </c>
      <c r="AF95" s="127">
        <f t="shared" ref="AF95" si="280">AE95/P95</f>
        <v>6.2334767340758213E-2</v>
      </c>
    </row>
    <row r="96" spans="1:40" s="41" customFormat="1" ht="24" customHeight="1">
      <c r="A96" s="38" t="s">
        <v>265</v>
      </c>
      <c r="B96" s="34" t="s">
        <v>277</v>
      </c>
      <c r="C96" s="91">
        <f>(VLOOKUP(B96,REPORTE!$B$3:$AV$200,14,FALSE)+VLOOKUP("DBBSE_Cred",REPORTE!$B$3:$AV$200,14,FALSE))/1000000</f>
        <v>38400</v>
      </c>
      <c r="D96" s="35">
        <f>(VLOOKUP(B96,REPORTE!$B$3:$AV$200,15,FALSE)+VLOOKUP("DBBSE_Cred",REPORTE!$B$3:$AV$200,15,FALSE))/1000000</f>
        <v>0</v>
      </c>
      <c r="E96" s="35">
        <f>(VLOOKUP(B96,REPORTE!$B$3:$AV$200,16,FALSE)+VLOOKUP("DBBSE_Cred",REPORTE!$B$3:$AV$200,16,FALSE))/1000000</f>
        <v>0</v>
      </c>
      <c r="F96" s="35">
        <f>(VLOOKUP(B96,REPORTE!$B$3:$AV$200,17,FALSE)+VLOOKUP("DBBSE_Cred",REPORTE!$B$3:$AV$200,17,FALSE))/1000000</f>
        <v>38400</v>
      </c>
      <c r="G96" s="35">
        <f>(VLOOKUP(B96,REPORTE!$B$3:$AV$200,18,FALSE)+VLOOKUP("DBBSE_Cred",REPORTE!$B$3:$AV$200,18,FALSE))/1000000</f>
        <v>0</v>
      </c>
      <c r="H96" s="35">
        <f>F96-G96</f>
        <v>38400</v>
      </c>
      <c r="I96" s="35">
        <f t="shared" ref="I96:I97" si="281">J96*$H96</f>
        <v>13441.357784239392</v>
      </c>
      <c r="J96" s="36">
        <f t="shared" si="250"/>
        <v>0.3500353589645675</v>
      </c>
      <c r="K96" s="35">
        <f>(VLOOKUP($B96,REPORTE!$B$3:$AV$200,20,FALSE)+VLOOKUP("DBBSE_Cred",REPORTE!$B$3:$AV$200,20,FALSE))/1000000</f>
        <v>5363.452507</v>
      </c>
      <c r="L96" s="36">
        <f>IF(H96=0,"",IF(H96="","",K96/$H96))</f>
        <v>0.13967324236979167</v>
      </c>
      <c r="M96" s="60">
        <f t="shared" ref="M96:M97" si="282">L96/J96</f>
        <v>0.3990260949149716</v>
      </c>
      <c r="N96" s="35">
        <f t="shared" ref="N96:N97" si="283">H96-K96</f>
        <v>33036.547492999998</v>
      </c>
      <c r="O96" s="35">
        <f t="shared" ref="O96:O97" si="284">P96*$H96</f>
        <v>6221.3770283285839</v>
      </c>
      <c r="P96" s="36">
        <f t="shared" si="255"/>
        <v>0.1620150267793902</v>
      </c>
      <c r="Q96" s="35">
        <f>(VLOOKUP($B96,REPORTE!$B$3:$AV$200,22,FALSE)+VLOOKUP("DBBSE_Cred",REPORTE!$B$3:$AV$200,22,FALSE))/1000000</f>
        <v>278.54479700000002</v>
      </c>
      <c r="R96" s="36">
        <f t="shared" ref="R96:R97" si="285">IF(H96=0,"",IF(H96="","",Q96/$H96))</f>
        <v>7.2537707552083339E-3</v>
      </c>
      <c r="S96" s="60">
        <f t="shared" ref="S96:S97" si="286">R96/P96</f>
        <v>4.4772209710433358E-2</v>
      </c>
      <c r="T96" s="39">
        <f t="shared" ref="T96:T97" si="287">U96*$H96</f>
        <v>5952</v>
      </c>
      <c r="U96" s="40">
        <f t="shared" si="259"/>
        <v>0.155</v>
      </c>
      <c r="V96" s="35">
        <f>(VLOOKUP($B96,REPORTE!$B$3:$AV$200,23,FALSE)+VLOOKUP("DBBSE_Cred",REPORTE!$B$3:$AV$200,23,FALSE))/1000000</f>
        <v>278.54479700000002</v>
      </c>
      <c r="W96" s="36">
        <f t="shared" ref="W96:W97" si="288">IF(H96=0,"",IF(H96="","",V96/$H96))</f>
        <v>7.2537707552083339E-3</v>
      </c>
      <c r="X96" s="145">
        <f t="shared" ref="X96:X97" si="289">W96/U96</f>
        <v>4.6798521001344087E-2</v>
      </c>
      <c r="Z96" s="35">
        <f>(VLOOKUP($B96,REPORTE!$B$3:$AV$200,20,FALSE)+VLOOKUP("DBBSE_Cred",REPORTE!$B$3:$AV$200,20,FALSE))/1000000</f>
        <v>5363.452507</v>
      </c>
      <c r="AA96" s="36">
        <f t="shared" ref="AA96:AA97" si="290">IF(F96=0,"",IF(F96="","",Z96/$F96))</f>
        <v>0.13967324236979167</v>
      </c>
      <c r="AB96" s="60">
        <f t="shared" ref="AB96:AB97" si="291">AA96/$J96</f>
        <v>0.3990260949149716</v>
      </c>
      <c r="AC96" s="35">
        <f t="shared" ref="AC96:AC97" si="292">F96-Z96</f>
        <v>33036.547492999998</v>
      </c>
      <c r="AD96" s="35">
        <f>(VLOOKUP($B96,REPORTE!$B$3:$AV$200,22,FALSE)+VLOOKUP("DBBSE_Cred",REPORTE!$B$3:$AV$200,22,FALSE))/1000000</f>
        <v>278.54479700000002</v>
      </c>
      <c r="AE96" s="36">
        <f t="shared" ref="AE96:AE97" si="293">IF(F96=0,"",IF(F96="","",AD96/$F96))</f>
        <v>7.2537707552083339E-3</v>
      </c>
      <c r="AF96" s="127">
        <f t="shared" ref="AF96:AF97" si="294">AE96/P96</f>
        <v>4.4772209710433358E-2</v>
      </c>
    </row>
    <row r="97" spans="1:32" s="41" customFormat="1" ht="24" customHeight="1">
      <c r="A97" s="38" t="s">
        <v>266</v>
      </c>
      <c r="B97" s="34" t="s">
        <v>235</v>
      </c>
      <c r="C97" s="91">
        <f>(VLOOKUP(B97,REPORTE!$B$3:$AV$200,14,FALSE)+VLOOKUP(B97&amp;"_Cred",REPORTE!$B$3:$AV$200,14,FALSE))/1000000</f>
        <v>11000</v>
      </c>
      <c r="D97" s="35">
        <f>(VLOOKUP(B97,REPORTE!$B$3:$AV$200,15,FALSE)+VLOOKUP(B97&amp;"_Cred",REPORTE!$B$3:$AV$200,15,FALSE))/1000000</f>
        <v>0</v>
      </c>
      <c r="E97" s="35">
        <f>(VLOOKUP(B97,REPORTE!$B$3:$AV$200,16,FALSE)+VLOOKUP(B97&amp;"_Cred",REPORTE!$B$3:$AV$200,16,FALSE))/1000000</f>
        <v>0</v>
      </c>
      <c r="F97" s="35">
        <f>(VLOOKUP(B97,REPORTE!$B$3:$AV$200,17,FALSE)+VLOOKUP(B97&amp;"_Cred",REPORTE!$B$3:$AV$200,17,FALSE))/1000000</f>
        <v>11000</v>
      </c>
      <c r="G97" s="35">
        <f>(VLOOKUP(B97,REPORTE!$B$3:$AV$200,18,FALSE)+VLOOKUP(B97&amp;"_Cred",REPORTE!$B$3:$AV$200,18,FALSE))/1000000</f>
        <v>0</v>
      </c>
      <c r="H97" s="35">
        <f>F97-G97</f>
        <v>11000</v>
      </c>
      <c r="I97" s="35">
        <f t="shared" si="281"/>
        <v>3850.3889486102426</v>
      </c>
      <c r="J97" s="36">
        <f t="shared" si="250"/>
        <v>0.3500353589645675</v>
      </c>
      <c r="K97" s="35">
        <f>(VLOOKUP($B97,REPORTE!$B$3:$AV$200,20,FALSE)+VLOOKUP(B97&amp;"_Cred",REPORTE!$B$3:$AV$200,20,FALSE))/1000000</f>
        <v>3814.0937450000001</v>
      </c>
      <c r="L97" s="36">
        <f>IF(H97=0,"",IF(H97="","",K97/$H97))</f>
        <v>0.34673579500000001</v>
      </c>
      <c r="M97" s="60">
        <f t="shared" si="282"/>
        <v>0.99057362669209226</v>
      </c>
      <c r="N97" s="35">
        <f t="shared" si="283"/>
        <v>7185.9062549999999</v>
      </c>
      <c r="O97" s="35">
        <f t="shared" si="284"/>
        <v>1782.1652945732922</v>
      </c>
      <c r="P97" s="36">
        <f t="shared" si="255"/>
        <v>0.1620150267793902</v>
      </c>
      <c r="Q97" s="35">
        <f>(VLOOKUP($B97,REPORTE!$B$3:$AV$200,22,FALSE)+VLOOKUP(B97&amp;"_Cred",REPORTE!$B$3:$AV$200,22,FALSE))/1000000</f>
        <v>251.29053400000001</v>
      </c>
      <c r="R97" s="36">
        <f t="shared" si="285"/>
        <v>2.2844593999999999E-2</v>
      </c>
      <c r="S97" s="60">
        <f t="shared" si="286"/>
        <v>0.1410029332100573</v>
      </c>
      <c r="T97" s="39">
        <f t="shared" si="287"/>
        <v>1705</v>
      </c>
      <c r="U97" s="40">
        <f t="shared" si="259"/>
        <v>0.155</v>
      </c>
      <c r="V97" s="35">
        <f>(VLOOKUP($B97,REPORTE!$B$3:$AV$200,23,FALSE)+VLOOKUP(B97&amp;"_Cred",REPORTE!$B$3:$AV$200,23,FALSE))/1000000</f>
        <v>251.29053400000001</v>
      </c>
      <c r="W97" s="36">
        <f t="shared" si="288"/>
        <v>2.2844593999999999E-2</v>
      </c>
      <c r="X97" s="145">
        <f t="shared" si="289"/>
        <v>0.14738447741935484</v>
      </c>
      <c r="Z97" s="35">
        <f>(VLOOKUP($B97,REPORTE!$B$3:$AV$200,20,FALSE)+VLOOKUP(B97&amp;"_Cred",REPORTE!$B$3:$AV$200,20,FALSE))/1000000</f>
        <v>3814.0937450000001</v>
      </c>
      <c r="AA97" s="36">
        <f t="shared" si="290"/>
        <v>0.34673579500000001</v>
      </c>
      <c r="AB97" s="60">
        <f t="shared" si="291"/>
        <v>0.99057362669209226</v>
      </c>
      <c r="AC97" s="35">
        <f t="shared" si="292"/>
        <v>7185.9062549999999</v>
      </c>
      <c r="AD97" s="35">
        <f>(VLOOKUP($B97,REPORTE!$B$3:$AV$200,22,FALSE)+VLOOKUP(B97&amp;"_Cred",REPORTE!$B$3:$AV$200,22,FALSE))/1000000</f>
        <v>251.29053400000001</v>
      </c>
      <c r="AE97" s="36">
        <f t="shared" si="293"/>
        <v>2.2844593999999999E-2</v>
      </c>
      <c r="AF97" s="127">
        <f t="shared" si="294"/>
        <v>0.1410029332100573</v>
      </c>
    </row>
    <row r="98" spans="1:32" s="41" customFormat="1" ht="24" customHeight="1">
      <c r="A98" s="38" t="s">
        <v>267</v>
      </c>
      <c r="B98" s="34" t="s">
        <v>234</v>
      </c>
      <c r="C98" s="91">
        <f>VLOOKUP(B98,REPORTE!$B$3:$AV$200,14,FALSE)/1000000</f>
        <v>7600</v>
      </c>
      <c r="D98" s="35">
        <f>VLOOKUP(B98,REPORTE!$B$3:$AV$200,15,FALSE)/1000000</f>
        <v>0</v>
      </c>
      <c r="E98" s="35">
        <f>VLOOKUP(B98,REPORTE!$B$3:$AV$200,16,FALSE)/1000000</f>
        <v>0</v>
      </c>
      <c r="F98" s="35">
        <f>VLOOKUP(B98,REPORTE!$B$3:$AV$200,17,FALSE)/1000000</f>
        <v>7600</v>
      </c>
      <c r="G98" s="35">
        <f>(VLOOKUP(B98,REPORTE!$B$3:$AV$200,18,FALSE)/1000000)</f>
        <v>0</v>
      </c>
      <c r="H98" s="35">
        <f t="shared" ref="H98:H105" si="295">F98-G98</f>
        <v>7600</v>
      </c>
      <c r="I98" s="35">
        <f t="shared" ref="I98:I107" si="296">J98*$H98</f>
        <v>2660.268728130713</v>
      </c>
      <c r="J98" s="36">
        <f t="shared" si="250"/>
        <v>0.3500353589645675</v>
      </c>
      <c r="K98" s="35">
        <f>VLOOKUP($B98,REPORTE!$B$3:$AV$200,20,FALSE)/1000000</f>
        <v>2655.156606</v>
      </c>
      <c r="L98" s="36">
        <f t="shared" ref="L98:L105" si="297">IF(H98=0,"",IF(H98="","",K98/$H98))</f>
        <v>0.3493627113157895</v>
      </c>
      <c r="M98" s="60">
        <f t="shared" ref="M98:M107" si="298">L98/J98</f>
        <v>0.99807834371142456</v>
      </c>
      <c r="N98" s="35">
        <f t="shared" ref="N98:N105" si="299">H98-K98</f>
        <v>4944.8433939999995</v>
      </c>
      <c r="O98" s="35">
        <f t="shared" ref="O98:O105" si="300">P98*$H98</f>
        <v>1231.3142035233654</v>
      </c>
      <c r="P98" s="36">
        <f t="shared" si="255"/>
        <v>0.1620150267793902</v>
      </c>
      <c r="Q98" s="35">
        <f>VLOOKUP($B98,REPORTE!$B$3:$AV$200,22,FALSE)/1000000</f>
        <v>213.175037</v>
      </c>
      <c r="R98" s="36">
        <f t="shared" ref="R98:R105" si="301">IF(H98=0,"",IF(H98="","",Q98/$H98))</f>
        <v>2.8049346973684212E-2</v>
      </c>
      <c r="S98" s="60">
        <f t="shared" ref="S98:S107" si="302">R98/P98</f>
        <v>0.17312805812684251</v>
      </c>
      <c r="T98" s="39">
        <f t="shared" ref="T98:T105" si="303">U98*$H98</f>
        <v>1178</v>
      </c>
      <c r="U98" s="40">
        <f t="shared" si="259"/>
        <v>0.155</v>
      </c>
      <c r="V98" s="35">
        <f>VLOOKUP($B98,REPORTE!$B$3:$AV$200,23,FALSE)/1000000</f>
        <v>213.175037</v>
      </c>
      <c r="W98" s="36">
        <f t="shared" ref="W98:W105" si="304">IF(H98=0,"",IF(H98="","",V98/$H98))</f>
        <v>2.8049346973684212E-2</v>
      </c>
      <c r="X98" s="145">
        <f t="shared" ref="X98:X107" si="305">W98/U98</f>
        <v>0.1809635288624788</v>
      </c>
      <c r="Z98" s="35">
        <f>VLOOKUP($B98,REPORTE!$B$3:$AV$200,20,FALSE)/1000000</f>
        <v>2655.156606</v>
      </c>
      <c r="AA98" s="36">
        <f t="shared" ref="AA98:AA105" si="306">IF(F98=0,"",IF(F98="","",Z98/$F98))</f>
        <v>0.3493627113157895</v>
      </c>
      <c r="AB98" s="60">
        <f t="shared" ref="AB98:AB107" si="307">AA98/$J98</f>
        <v>0.99807834371142456</v>
      </c>
      <c r="AC98" s="35">
        <f t="shared" ref="AC98:AC105" si="308">F98-Z98</f>
        <v>4944.8433939999995</v>
      </c>
      <c r="AD98" s="35">
        <f>VLOOKUP($B98,REPORTE!$B$3:$AV$200,22,FALSE)/1000000</f>
        <v>213.175037</v>
      </c>
      <c r="AE98" s="36">
        <f t="shared" ref="AE98:AE105" si="309">IF(F98=0,"",IF(F98="","",AD98/$F98))</f>
        <v>2.8049346973684212E-2</v>
      </c>
      <c r="AF98" s="127">
        <f t="shared" ref="AF98:AF107" si="310">AE98/P98</f>
        <v>0.17312805812684251</v>
      </c>
    </row>
    <row r="99" spans="1:32" s="41" customFormat="1" ht="24" customHeight="1">
      <c r="A99" s="38" t="s">
        <v>268</v>
      </c>
      <c r="B99" s="34" t="s">
        <v>233</v>
      </c>
      <c r="C99" s="91">
        <f>VLOOKUP(B99,REPORTE!$B$3:$AV$200,14,FALSE)/1000000</f>
        <v>7000</v>
      </c>
      <c r="D99" s="35">
        <f>VLOOKUP(B99,REPORTE!$B$3:$AV$200,15,FALSE)/1000000</f>
        <v>0</v>
      </c>
      <c r="E99" s="35">
        <f>VLOOKUP(B99,REPORTE!$B$3:$AV$200,16,FALSE)/1000000</f>
        <v>0</v>
      </c>
      <c r="F99" s="35">
        <f>VLOOKUP(B99,REPORTE!$B$3:$AV$200,17,FALSE)/1000000</f>
        <v>7000</v>
      </c>
      <c r="G99" s="35">
        <f>(VLOOKUP(B99,REPORTE!$B$3:$AV$200,18,FALSE)/1000000)</f>
        <v>0</v>
      </c>
      <c r="H99" s="35">
        <f t="shared" si="295"/>
        <v>7000</v>
      </c>
      <c r="I99" s="35">
        <f t="shared" si="296"/>
        <v>2450.2475127519724</v>
      </c>
      <c r="J99" s="36">
        <f t="shared" si="250"/>
        <v>0.3500353589645675</v>
      </c>
      <c r="K99" s="35">
        <f>VLOOKUP($B99,REPORTE!$B$3:$AV$200,20,FALSE)/1000000</f>
        <v>4629.241884</v>
      </c>
      <c r="L99" s="36">
        <f t="shared" si="297"/>
        <v>0.66132026914285713</v>
      </c>
      <c r="M99" s="60">
        <f t="shared" si="298"/>
        <v>1.8892956160174652</v>
      </c>
      <c r="N99" s="35">
        <f t="shared" si="299"/>
        <v>2370.758116</v>
      </c>
      <c r="O99" s="35">
        <f t="shared" si="300"/>
        <v>1134.1051874557313</v>
      </c>
      <c r="P99" s="36">
        <f t="shared" si="255"/>
        <v>0.1620150267793902</v>
      </c>
      <c r="Q99" s="35">
        <f>VLOOKUP($B99,REPORTE!$B$3:$AV$200,22,FALSE)/1000000</f>
        <v>198.00760500000001</v>
      </c>
      <c r="R99" s="36">
        <f t="shared" si="301"/>
        <v>2.8286800714285715E-2</v>
      </c>
      <c r="S99" s="60">
        <f t="shared" si="302"/>
        <v>0.17459368600915515</v>
      </c>
      <c r="T99" s="39">
        <f t="shared" si="303"/>
        <v>1085</v>
      </c>
      <c r="U99" s="40">
        <f t="shared" si="259"/>
        <v>0.155</v>
      </c>
      <c r="V99" s="35">
        <f>VLOOKUP($B99,REPORTE!$B$3:$AV$200,23,FALSE)/1000000</f>
        <v>198.00760500000001</v>
      </c>
      <c r="W99" s="36">
        <f t="shared" si="304"/>
        <v>2.8286800714285715E-2</v>
      </c>
      <c r="X99" s="145">
        <f t="shared" si="305"/>
        <v>0.18249548847926267</v>
      </c>
      <c r="Z99" s="35">
        <f>VLOOKUP($B99,REPORTE!$B$3:$AV$200,20,FALSE)/1000000</f>
        <v>4629.241884</v>
      </c>
      <c r="AA99" s="36">
        <f t="shared" si="306"/>
        <v>0.66132026914285713</v>
      </c>
      <c r="AB99" s="60">
        <f t="shared" si="307"/>
        <v>1.8892956160174652</v>
      </c>
      <c r="AC99" s="35">
        <f t="shared" si="308"/>
        <v>2370.758116</v>
      </c>
      <c r="AD99" s="35">
        <f>VLOOKUP($B99,REPORTE!$B$3:$AV$200,22,FALSE)/1000000</f>
        <v>198.00760500000001</v>
      </c>
      <c r="AE99" s="36">
        <f t="shared" si="309"/>
        <v>2.8286800714285715E-2</v>
      </c>
      <c r="AF99" s="127">
        <f t="shared" si="310"/>
        <v>0.17459368600915515</v>
      </c>
    </row>
    <row r="100" spans="1:32" s="41" customFormat="1" ht="24" customHeight="1">
      <c r="A100" s="38" t="s">
        <v>269</v>
      </c>
      <c r="B100" s="34" t="s">
        <v>230</v>
      </c>
      <c r="C100" s="91">
        <f>VLOOKUP(B100,REPORTE!$B$3:$AV$200,14,FALSE)/1000000</f>
        <v>3000</v>
      </c>
      <c r="D100" s="35">
        <f>VLOOKUP(B100,REPORTE!$B$3:$AV$200,15,FALSE)/1000000</f>
        <v>0</v>
      </c>
      <c r="E100" s="35">
        <f>VLOOKUP(B100,REPORTE!$B$3:$AV$200,16,FALSE)/1000000</f>
        <v>0</v>
      </c>
      <c r="F100" s="35">
        <f>VLOOKUP(B100,REPORTE!$B$3:$AV$200,17,FALSE)/1000000</f>
        <v>3000</v>
      </c>
      <c r="G100" s="35">
        <f>(VLOOKUP(B100,REPORTE!$B$3:$AV$200,18,FALSE)/1000000)</f>
        <v>0</v>
      </c>
      <c r="H100" s="35">
        <f t="shared" si="295"/>
        <v>3000</v>
      </c>
      <c r="I100" s="35">
        <f t="shared" si="296"/>
        <v>1050.1060768937025</v>
      </c>
      <c r="J100" s="36">
        <f t="shared" si="250"/>
        <v>0.3500353589645675</v>
      </c>
      <c r="K100" s="35">
        <f>VLOOKUP($B100,REPORTE!$B$3:$AV$200,20,FALSE)/1000000</f>
        <v>1705.086243</v>
      </c>
      <c r="L100" s="36">
        <f t="shared" si="297"/>
        <v>0.56836208099999996</v>
      </c>
      <c r="M100" s="60">
        <f t="shared" si="298"/>
        <v>1.6237276219215691</v>
      </c>
      <c r="N100" s="35">
        <f t="shared" si="299"/>
        <v>1294.913757</v>
      </c>
      <c r="O100" s="35">
        <f t="shared" si="300"/>
        <v>486.04508033817058</v>
      </c>
      <c r="P100" s="36">
        <f t="shared" si="255"/>
        <v>0.1620150267793902</v>
      </c>
      <c r="Q100" s="35">
        <f>VLOOKUP($B100,REPORTE!$B$3:$AV$200,22,FALSE)/1000000</f>
        <v>547.04326459000004</v>
      </c>
      <c r="R100" s="36">
        <f t="shared" si="301"/>
        <v>0.18234775486333335</v>
      </c>
      <c r="S100" s="60">
        <f t="shared" si="302"/>
        <v>1.1254990261590332</v>
      </c>
      <c r="T100" s="39">
        <f t="shared" si="303"/>
        <v>465</v>
      </c>
      <c r="U100" s="40">
        <f t="shared" si="259"/>
        <v>0.155</v>
      </c>
      <c r="V100" s="35">
        <f>VLOOKUP($B100,REPORTE!$B$3:$AV$200,23,FALSE)/1000000</f>
        <v>547.04326459000004</v>
      </c>
      <c r="W100" s="36">
        <f t="shared" si="304"/>
        <v>0.18234775486333335</v>
      </c>
      <c r="X100" s="145">
        <f t="shared" si="305"/>
        <v>1.1764371281505377</v>
      </c>
      <c r="Z100" s="35">
        <f>VLOOKUP($B100,REPORTE!$B$3:$AV$200,20,FALSE)/1000000</f>
        <v>1705.086243</v>
      </c>
      <c r="AA100" s="36">
        <f t="shared" si="306"/>
        <v>0.56836208099999996</v>
      </c>
      <c r="AB100" s="60">
        <f t="shared" si="307"/>
        <v>1.6237276219215691</v>
      </c>
      <c r="AC100" s="35">
        <f t="shared" si="308"/>
        <v>1294.913757</v>
      </c>
      <c r="AD100" s="35">
        <f>VLOOKUP($B100,REPORTE!$B$3:$AV$200,22,FALSE)/1000000</f>
        <v>547.04326459000004</v>
      </c>
      <c r="AE100" s="36">
        <f t="shared" si="309"/>
        <v>0.18234775486333335</v>
      </c>
      <c r="AF100" s="127">
        <f t="shared" si="310"/>
        <v>1.1254990261590332</v>
      </c>
    </row>
    <row r="101" spans="1:32" s="41" customFormat="1" ht="24" customHeight="1">
      <c r="A101" s="38" t="s">
        <v>270</v>
      </c>
      <c r="B101" s="34" t="s">
        <v>229</v>
      </c>
      <c r="C101" s="91">
        <f>VLOOKUP(B101,REPORTE!$B$3:$AV$200,14,FALSE)/1000000</f>
        <v>2000</v>
      </c>
      <c r="D101" s="35">
        <f>VLOOKUP(B101,REPORTE!$B$3:$AV$200,15,FALSE)/1000000</f>
        <v>0</v>
      </c>
      <c r="E101" s="35">
        <f>VLOOKUP(B101,REPORTE!$B$3:$AV$200,16,FALSE)/1000000</f>
        <v>0</v>
      </c>
      <c r="F101" s="35">
        <f>VLOOKUP(B101,REPORTE!$B$3:$AV$200,17,FALSE)/1000000</f>
        <v>2000</v>
      </c>
      <c r="G101" s="35">
        <f>(VLOOKUP(B101,REPORTE!$B$3:$AV$200,18,FALSE)/1000000)</f>
        <v>0</v>
      </c>
      <c r="H101" s="35">
        <f t="shared" si="295"/>
        <v>2000</v>
      </c>
      <c r="I101" s="35">
        <f t="shared" si="296"/>
        <v>700.07071792913496</v>
      </c>
      <c r="J101" s="36">
        <f t="shared" si="250"/>
        <v>0.3500353589645675</v>
      </c>
      <c r="K101" s="35">
        <f>VLOOKUP($B101,REPORTE!$B$3:$AV$200,20,FALSE)/1000000</f>
        <v>1906.6765419999999</v>
      </c>
      <c r="L101" s="36">
        <f t="shared" si="297"/>
        <v>0.95333827100000001</v>
      </c>
      <c r="M101" s="60">
        <f t="shared" si="298"/>
        <v>2.7235484832733774</v>
      </c>
      <c r="N101" s="35">
        <f t="shared" si="299"/>
        <v>93.323458000000073</v>
      </c>
      <c r="O101" s="35">
        <f t="shared" si="300"/>
        <v>324.03005355878042</v>
      </c>
      <c r="P101" s="36">
        <f t="shared" si="255"/>
        <v>0.1620150267793902</v>
      </c>
      <c r="Q101" s="35">
        <f>VLOOKUP($B101,REPORTE!$B$3:$AV$200,22,FALSE)/1000000</f>
        <v>163.77573899999999</v>
      </c>
      <c r="R101" s="36">
        <f t="shared" si="301"/>
        <v>8.1887869499999988E-2</v>
      </c>
      <c r="S101" s="60">
        <f t="shared" si="302"/>
        <v>0.50543379294998136</v>
      </c>
      <c r="T101" s="39">
        <f t="shared" si="303"/>
        <v>310</v>
      </c>
      <c r="U101" s="40">
        <f t="shared" si="259"/>
        <v>0.155</v>
      </c>
      <c r="V101" s="35">
        <f>VLOOKUP($B101,REPORTE!$B$3:$AV$200,23,FALSE)/1000000</f>
        <v>163.77573899999999</v>
      </c>
      <c r="W101" s="36">
        <f t="shared" si="304"/>
        <v>8.1887869499999988E-2</v>
      </c>
      <c r="X101" s="145">
        <f t="shared" si="305"/>
        <v>0.52830883548387086</v>
      </c>
      <c r="Z101" s="35">
        <f>VLOOKUP($B101,REPORTE!$B$3:$AV$200,20,FALSE)/1000000</f>
        <v>1906.6765419999999</v>
      </c>
      <c r="AA101" s="36">
        <f t="shared" si="306"/>
        <v>0.95333827100000001</v>
      </c>
      <c r="AB101" s="60">
        <f t="shared" si="307"/>
        <v>2.7235484832733774</v>
      </c>
      <c r="AC101" s="35">
        <f t="shared" si="308"/>
        <v>93.323458000000073</v>
      </c>
      <c r="AD101" s="35">
        <f>VLOOKUP($B101,REPORTE!$B$3:$AV$200,22,FALSE)/1000000</f>
        <v>163.77573899999999</v>
      </c>
      <c r="AE101" s="36">
        <f t="shared" si="309"/>
        <v>8.1887869499999988E-2</v>
      </c>
      <c r="AF101" s="127">
        <f t="shared" si="310"/>
        <v>0.50543379294998136</v>
      </c>
    </row>
    <row r="102" spans="1:32" s="41" customFormat="1" ht="24" customHeight="1">
      <c r="A102" s="38" t="s">
        <v>271</v>
      </c>
      <c r="B102" s="34" t="s">
        <v>232</v>
      </c>
      <c r="C102" s="91">
        <f>VLOOKUP(B102,REPORTE!$B$3:$AV$200,14,FALSE)/1000000</f>
        <v>6500</v>
      </c>
      <c r="D102" s="35">
        <f>VLOOKUP(B102,REPORTE!$B$3:$AV$200,15,FALSE)/1000000</f>
        <v>0</v>
      </c>
      <c r="E102" s="35">
        <f>VLOOKUP(B102,REPORTE!$B$3:$AV$200,16,FALSE)/1000000</f>
        <v>0</v>
      </c>
      <c r="F102" s="35">
        <f>VLOOKUP(B102,REPORTE!$B$3:$AV$200,17,FALSE)/1000000</f>
        <v>6500</v>
      </c>
      <c r="G102" s="35">
        <f>(VLOOKUP(B102,REPORTE!$B$3:$AV$200,18,FALSE)/1000000)</f>
        <v>0</v>
      </c>
      <c r="H102" s="35">
        <f t="shared" ref="H102" si="311">F102-G102</f>
        <v>6500</v>
      </c>
      <c r="I102" s="35">
        <f t="shared" ref="I102" si="312">J102*$H102</f>
        <v>2275.2298332696887</v>
      </c>
      <c r="J102" s="36">
        <f t="shared" si="250"/>
        <v>0.3500353589645675</v>
      </c>
      <c r="K102" s="35">
        <f>VLOOKUP($B102,REPORTE!$B$3:$AV$200,20,FALSE)/1000000</f>
        <v>2547.3009659999998</v>
      </c>
      <c r="L102" s="36">
        <f t="shared" ref="L102" si="313">IF(H102=0,"",IF(H102="","",K102/$H102))</f>
        <v>0.39189245630769226</v>
      </c>
      <c r="M102" s="60">
        <f t="shared" ref="M102" si="314">L102/J102</f>
        <v>1.1195796260896083</v>
      </c>
      <c r="N102" s="35">
        <f t="shared" ref="N102" si="315">H102-K102</f>
        <v>3952.6990340000002</v>
      </c>
      <c r="O102" s="35">
        <f t="shared" ref="O102" si="316">P102*$H102</f>
        <v>1053.0976740660362</v>
      </c>
      <c r="P102" s="36">
        <f t="shared" si="255"/>
        <v>0.1620150267793902</v>
      </c>
      <c r="Q102" s="35">
        <f>VLOOKUP($B102,REPORTE!$B$3:$AV$200,22,FALSE)/1000000</f>
        <v>222.98713599999999</v>
      </c>
      <c r="R102" s="36">
        <f t="shared" ref="R102" si="317">IF(H102=0,"",IF(H102="","",Q102/$H102))</f>
        <v>3.4305713230769232E-2</v>
      </c>
      <c r="S102" s="60">
        <f t="shared" ref="S102" si="318">R102/P102</f>
        <v>0.21174402098813982</v>
      </c>
      <c r="T102" s="39">
        <f t="shared" ref="T102" si="319">U102*$H102</f>
        <v>1007.5</v>
      </c>
      <c r="U102" s="40">
        <f t="shared" si="259"/>
        <v>0.155</v>
      </c>
      <c r="V102" s="35">
        <f>VLOOKUP($B102,REPORTE!$B$3:$AV$200,23,FALSE)/1000000</f>
        <v>222.98713599999999</v>
      </c>
      <c r="W102" s="36">
        <f t="shared" ref="W102" si="320">IF(H102=0,"",IF(H102="","",V102/$H102))</f>
        <v>3.4305713230769232E-2</v>
      </c>
      <c r="X102" s="145">
        <f t="shared" ref="X102" si="321">W102/U102</f>
        <v>0.22132718213399505</v>
      </c>
      <c r="Z102" s="35">
        <f>VLOOKUP($B102,REPORTE!$B$3:$AV$200,20,FALSE)/1000000</f>
        <v>2547.3009659999998</v>
      </c>
      <c r="AA102" s="36">
        <f t="shared" ref="AA102" si="322">IF(F102=0,"",IF(F102="","",Z102/$F102))</f>
        <v>0.39189245630769226</v>
      </c>
      <c r="AB102" s="60">
        <f t="shared" ref="AB102" si="323">AA102/$J102</f>
        <v>1.1195796260896083</v>
      </c>
      <c r="AC102" s="35">
        <f t="shared" ref="AC102" si="324">F102-Z102</f>
        <v>3952.6990340000002</v>
      </c>
      <c r="AD102" s="35">
        <f>VLOOKUP($B102,REPORTE!$B$3:$AV$200,22,FALSE)/1000000</f>
        <v>222.98713599999999</v>
      </c>
      <c r="AE102" s="36">
        <f t="shared" ref="AE102" si="325">IF(F102=0,"",IF(F102="","",AD102/$F102))</f>
        <v>3.4305713230769232E-2</v>
      </c>
      <c r="AF102" s="127">
        <f t="shared" ref="AF102" si="326">AE102/P102</f>
        <v>0.21174402098813982</v>
      </c>
    </row>
    <row r="103" spans="1:32" s="41" customFormat="1" ht="24" customHeight="1">
      <c r="A103" s="38" t="s">
        <v>272</v>
      </c>
      <c r="B103" s="34" t="s">
        <v>276</v>
      </c>
      <c r="C103" s="91">
        <f>VLOOKUP(B103,REPORTE!$B$3:$AV$200,14,FALSE)/1000000</f>
        <v>9000</v>
      </c>
      <c r="D103" s="35">
        <f>VLOOKUP(B103,REPORTE!$B$3:$AV$200,15,FALSE)/1000000</f>
        <v>0</v>
      </c>
      <c r="E103" s="35">
        <f>VLOOKUP(B103,REPORTE!$B$3:$AV$200,16,FALSE)/1000000</f>
        <v>0</v>
      </c>
      <c r="F103" s="35">
        <f>VLOOKUP(B103,REPORTE!$B$3:$AV$200,17,FALSE)/1000000</f>
        <v>9000</v>
      </c>
      <c r="G103" s="35">
        <f>(VLOOKUP(B103,REPORTE!$B$3:$AV$200,18,FALSE)/1000000)</f>
        <v>0</v>
      </c>
      <c r="H103" s="35">
        <f t="shared" si="295"/>
        <v>9000</v>
      </c>
      <c r="I103" s="35">
        <f t="shared" si="296"/>
        <v>3150.3182306811077</v>
      </c>
      <c r="J103" s="36">
        <f t="shared" si="250"/>
        <v>0.3500353589645675</v>
      </c>
      <c r="K103" s="35">
        <f>VLOOKUP($B103,REPORTE!$B$3:$AV$200,20,FALSE)/1000000</f>
        <v>3138.8758628299997</v>
      </c>
      <c r="L103" s="36">
        <f t="shared" si="297"/>
        <v>0.34876398475888887</v>
      </c>
      <c r="M103" s="60">
        <f t="shared" si="298"/>
        <v>0.99636786920772957</v>
      </c>
      <c r="N103" s="35">
        <f t="shared" si="299"/>
        <v>5861.1241371699998</v>
      </c>
      <c r="O103" s="35">
        <f t="shared" si="300"/>
        <v>1458.1352410145118</v>
      </c>
      <c r="P103" s="36">
        <f t="shared" si="255"/>
        <v>0.1620150267793902</v>
      </c>
      <c r="Q103" s="35">
        <f>VLOOKUP($B103,REPORTE!$B$3:$AV$200,22,FALSE)/1000000</f>
        <v>196.19828999999999</v>
      </c>
      <c r="R103" s="36">
        <f t="shared" si="301"/>
        <v>2.1799809999999999E-2</v>
      </c>
      <c r="S103" s="60">
        <f t="shared" si="302"/>
        <v>0.13455424742597477</v>
      </c>
      <c r="T103" s="39">
        <f t="shared" si="303"/>
        <v>1395</v>
      </c>
      <c r="U103" s="40">
        <f t="shared" si="259"/>
        <v>0.155</v>
      </c>
      <c r="V103" s="35">
        <f>VLOOKUP($B103,REPORTE!$B$3:$AV$200,23,FALSE)/1000000</f>
        <v>196.19828999999999</v>
      </c>
      <c r="W103" s="36">
        <f t="shared" si="304"/>
        <v>2.1799809999999999E-2</v>
      </c>
      <c r="X103" s="145">
        <f t="shared" si="305"/>
        <v>0.14064393548387097</v>
      </c>
      <c r="Z103" s="35">
        <f>VLOOKUP($B103,REPORTE!$B$3:$AV$200,20,FALSE)/1000000</f>
        <v>3138.8758628299997</v>
      </c>
      <c r="AA103" s="36">
        <f t="shared" si="306"/>
        <v>0.34876398475888887</v>
      </c>
      <c r="AB103" s="60">
        <f t="shared" si="307"/>
        <v>0.99636786920772957</v>
      </c>
      <c r="AC103" s="35">
        <f t="shared" si="308"/>
        <v>5861.1241371699998</v>
      </c>
      <c r="AD103" s="35">
        <f>VLOOKUP($B103,REPORTE!$B$3:$AV$200,22,FALSE)/1000000</f>
        <v>196.19828999999999</v>
      </c>
      <c r="AE103" s="36">
        <f t="shared" si="309"/>
        <v>2.1799809999999999E-2</v>
      </c>
      <c r="AF103" s="127">
        <f t="shared" si="310"/>
        <v>0.13455424742597477</v>
      </c>
    </row>
    <row r="104" spans="1:32" s="41" customFormat="1" ht="24" customHeight="1">
      <c r="A104" s="38" t="s">
        <v>273</v>
      </c>
      <c r="B104" s="34" t="s">
        <v>228</v>
      </c>
      <c r="C104" s="91">
        <f>VLOOKUP(B104,REPORTE!$B$3:$AV$200,14,FALSE)/1000000</f>
        <v>9340.5039840000009</v>
      </c>
      <c r="D104" s="35">
        <f>VLOOKUP(B104,REPORTE!$B$3:$AV$200,15,FALSE)/1000000</f>
        <v>0</v>
      </c>
      <c r="E104" s="35">
        <f>VLOOKUP(B104,REPORTE!$B$3:$AV$200,16,FALSE)/1000000</f>
        <v>0</v>
      </c>
      <c r="F104" s="35">
        <f>VLOOKUP(B104,REPORTE!$B$3:$AV$200,17,FALSE)/1000000</f>
        <v>9340.5039840000009</v>
      </c>
      <c r="G104" s="35">
        <f>(VLOOKUP(B104,REPORTE!$B$3:$AV$200,18,FALSE)/1000000)</f>
        <v>0</v>
      </c>
      <c r="H104" s="35">
        <f t="shared" si="295"/>
        <v>9340.5039840000009</v>
      </c>
      <c r="I104" s="35">
        <f t="shared" si="296"/>
        <v>3269.5066649494133</v>
      </c>
      <c r="J104" s="36">
        <f t="shared" si="250"/>
        <v>0.3500353589645675</v>
      </c>
      <c r="K104" s="35">
        <f>VLOOKUP($B104,REPORTE!$B$3:$AV$200,20,FALSE)/1000000</f>
        <v>4799.4346569999998</v>
      </c>
      <c r="L104" s="36">
        <f t="shared" si="297"/>
        <v>0.51383037416624255</v>
      </c>
      <c r="M104" s="60">
        <f t="shared" si="298"/>
        <v>1.4679384839468612</v>
      </c>
      <c r="N104" s="35">
        <f t="shared" si="299"/>
        <v>4541.0693270000011</v>
      </c>
      <c r="O104" s="35">
        <f t="shared" si="300"/>
        <v>1513.3020031007609</v>
      </c>
      <c r="P104" s="36">
        <f t="shared" si="255"/>
        <v>0.1620150267793902</v>
      </c>
      <c r="Q104" s="35">
        <f>VLOOKUP($B104,REPORTE!$B$3:$AV$200,22,FALSE)/1000000</f>
        <v>292.83008599999999</v>
      </c>
      <c r="R104" s="36">
        <f t="shared" si="301"/>
        <v>3.1350565933231121E-2</v>
      </c>
      <c r="S104" s="60">
        <f t="shared" si="302"/>
        <v>0.19350406290349853</v>
      </c>
      <c r="T104" s="39">
        <f t="shared" si="303"/>
        <v>1447.77811752</v>
      </c>
      <c r="U104" s="40">
        <f t="shared" si="259"/>
        <v>0.155</v>
      </c>
      <c r="V104" s="35">
        <f>VLOOKUP($B104,REPORTE!$B$3:$AV$200,23,FALSE)/1000000</f>
        <v>292.83008599999999</v>
      </c>
      <c r="W104" s="36">
        <f t="shared" si="304"/>
        <v>3.1350565933231121E-2</v>
      </c>
      <c r="X104" s="145">
        <f t="shared" si="305"/>
        <v>0.20226171569826529</v>
      </c>
      <c r="Z104" s="35">
        <f>VLOOKUP($B104,REPORTE!$B$3:$AV$200,20,FALSE)/1000000</f>
        <v>4799.4346569999998</v>
      </c>
      <c r="AA104" s="36">
        <f t="shared" si="306"/>
        <v>0.51383037416624255</v>
      </c>
      <c r="AB104" s="60">
        <f t="shared" si="307"/>
        <v>1.4679384839468612</v>
      </c>
      <c r="AC104" s="35">
        <f t="shared" si="308"/>
        <v>4541.0693270000011</v>
      </c>
      <c r="AD104" s="35">
        <f>VLOOKUP($B104,REPORTE!$B$3:$AV$200,22,FALSE)/1000000</f>
        <v>292.83008599999999</v>
      </c>
      <c r="AE104" s="36">
        <f t="shared" si="309"/>
        <v>3.1350565933231121E-2</v>
      </c>
      <c r="AF104" s="127">
        <f t="shared" si="310"/>
        <v>0.19350406290349853</v>
      </c>
    </row>
    <row r="105" spans="1:32" s="41" customFormat="1" ht="24" customHeight="1">
      <c r="A105" s="38" t="s">
        <v>274</v>
      </c>
      <c r="B105" s="37" t="s">
        <v>227</v>
      </c>
      <c r="C105" s="91">
        <f>VLOOKUP(B105,REPORTE!$B$3:$AV$200,14,FALSE)/1000000</f>
        <v>12000</v>
      </c>
      <c r="D105" s="35">
        <f>VLOOKUP(B105,REPORTE!$B$3:$AV$200,15,FALSE)/1000000</f>
        <v>0</v>
      </c>
      <c r="E105" s="35">
        <f>VLOOKUP(B105,REPORTE!$B$3:$AV$200,16,FALSE)/1000000</f>
        <v>0</v>
      </c>
      <c r="F105" s="35">
        <f>VLOOKUP(B105,REPORTE!$B$3:$AV$200,17,FALSE)/1000000</f>
        <v>12000</v>
      </c>
      <c r="G105" s="35">
        <f>(VLOOKUP(B105,REPORTE!$B$3:$AV$200,18,FALSE)/1000000)</f>
        <v>0</v>
      </c>
      <c r="H105" s="35">
        <f t="shared" si="295"/>
        <v>12000</v>
      </c>
      <c r="I105" s="35">
        <f t="shared" si="296"/>
        <v>4200.42430757481</v>
      </c>
      <c r="J105" s="36">
        <f t="shared" si="250"/>
        <v>0.3500353589645675</v>
      </c>
      <c r="K105" s="35">
        <f>VLOOKUP($B105,REPORTE!$B$3:$AV$200,20,FALSE)/1000000</f>
        <v>7020.1761349999997</v>
      </c>
      <c r="L105" s="36">
        <f t="shared" si="297"/>
        <v>0.58501467791666661</v>
      </c>
      <c r="M105" s="60">
        <f t="shared" si="298"/>
        <v>1.6713016640581302</v>
      </c>
      <c r="N105" s="35">
        <f t="shared" si="299"/>
        <v>4979.8238650000003</v>
      </c>
      <c r="O105" s="35">
        <f t="shared" si="300"/>
        <v>1944.1803213526823</v>
      </c>
      <c r="P105" s="36">
        <f t="shared" si="255"/>
        <v>0.1620150267793902</v>
      </c>
      <c r="Q105" s="35">
        <f>VLOOKUP($B105,REPORTE!$B$3:$AV$200,22,FALSE)/1000000</f>
        <v>836.82853933000001</v>
      </c>
      <c r="R105" s="36">
        <f t="shared" si="301"/>
        <v>6.9735711610833334E-2</v>
      </c>
      <c r="S105" s="60">
        <f t="shared" si="302"/>
        <v>0.43042743007900031</v>
      </c>
      <c r="T105" s="39">
        <f t="shared" si="303"/>
        <v>1860</v>
      </c>
      <c r="U105" s="40">
        <f t="shared" si="259"/>
        <v>0.155</v>
      </c>
      <c r="V105" s="35">
        <f>VLOOKUP($B105,REPORTE!$B$3:$AV$200,23,FALSE)/1000000</f>
        <v>836.82853933000001</v>
      </c>
      <c r="W105" s="36">
        <f t="shared" si="304"/>
        <v>6.9735711610833334E-2</v>
      </c>
      <c r="X105" s="145">
        <f t="shared" si="305"/>
        <v>0.44990781684408604</v>
      </c>
      <c r="Z105" s="35">
        <f>VLOOKUP($B105,REPORTE!$B$3:$AV$200,20,FALSE)/1000000</f>
        <v>7020.1761349999997</v>
      </c>
      <c r="AA105" s="36">
        <f t="shared" si="306"/>
        <v>0.58501467791666661</v>
      </c>
      <c r="AB105" s="60">
        <f t="shared" si="307"/>
        <v>1.6713016640581302</v>
      </c>
      <c r="AC105" s="35">
        <f t="shared" si="308"/>
        <v>4979.8238650000003</v>
      </c>
      <c r="AD105" s="35">
        <f>VLOOKUP($B105,REPORTE!$B$3:$AV$200,22,FALSE)/1000000</f>
        <v>836.82853933000001</v>
      </c>
      <c r="AE105" s="36">
        <f t="shared" si="309"/>
        <v>6.9735711610833334E-2</v>
      </c>
      <c r="AF105" s="127">
        <f t="shared" si="310"/>
        <v>0.43042743007900031</v>
      </c>
    </row>
    <row r="106" spans="1:32" s="41" customFormat="1" ht="24" customHeight="1">
      <c r="A106" s="38" t="s">
        <v>275</v>
      </c>
      <c r="B106" s="37" t="s">
        <v>236</v>
      </c>
      <c r="C106" s="91">
        <f>VLOOKUP(B106,REPORTE!$B$3:$AV$200,14,FALSE)/1000000</f>
        <v>19000</v>
      </c>
      <c r="D106" s="35">
        <f>VLOOKUP(B106,REPORTE!$B$3:$AV$200,15,FALSE)/1000000</f>
        <v>0</v>
      </c>
      <c r="E106" s="35">
        <f>VLOOKUP(B106,REPORTE!$B$3:$AV$200,16,FALSE)/1000000</f>
        <v>0</v>
      </c>
      <c r="F106" s="35">
        <f>VLOOKUP(B106,REPORTE!$B$3:$AV$200,17,FALSE)/1000000</f>
        <v>19000</v>
      </c>
      <c r="G106" s="35">
        <f>(VLOOKUP(B106,REPORTE!$B$3:$AV$200,18,FALSE)/1000000)</f>
        <v>0</v>
      </c>
      <c r="H106" s="35">
        <f t="shared" ref="H106" si="327">F106-G106</f>
        <v>19000</v>
      </c>
      <c r="I106" s="35">
        <f t="shared" ref="I106" si="328">J106*$H106</f>
        <v>6650.6718203267828</v>
      </c>
      <c r="J106" s="36">
        <f t="shared" si="250"/>
        <v>0.3500353589645675</v>
      </c>
      <c r="K106" s="35">
        <f>VLOOKUP($B106,REPORTE!$B$3:$AV$200,20,FALSE)/1000000</f>
        <v>3886.6009650000001</v>
      </c>
      <c r="L106" s="36">
        <f t="shared" ref="L106" si="329">IF(H106=0,"",IF(H106="","",K106/$H106))</f>
        <v>0.20455794552631579</v>
      </c>
      <c r="M106" s="60">
        <f t="shared" ref="M106" si="330">L106/J106</f>
        <v>0.58439223434859411</v>
      </c>
      <c r="N106" s="35">
        <f t="shared" ref="N106" si="331">H106-K106</f>
        <v>15113.399035</v>
      </c>
      <c r="O106" s="35">
        <f t="shared" ref="O106" si="332">P106*$H106</f>
        <v>3078.2855088084139</v>
      </c>
      <c r="P106" s="36">
        <f t="shared" si="255"/>
        <v>0.1620150267793902</v>
      </c>
      <c r="Q106" s="35">
        <f>VLOOKUP($B106,REPORTE!$B$3:$AV$200,22,FALSE)/1000000</f>
        <v>166.44575699999999</v>
      </c>
      <c r="R106" s="36">
        <f t="shared" ref="R106" si="333">IF(H106=0,"",IF(H106="","",Q106/$H106))</f>
        <v>8.7603029999999988E-3</v>
      </c>
      <c r="S106" s="60">
        <f t="shared" ref="S106" si="334">R106/P106</f>
        <v>5.4070928938761809E-2</v>
      </c>
      <c r="T106" s="39">
        <f t="shared" ref="T106" si="335">U106*$H106</f>
        <v>2945</v>
      </c>
      <c r="U106" s="40">
        <f t="shared" si="259"/>
        <v>0.155</v>
      </c>
      <c r="V106" s="35">
        <f>VLOOKUP($B106,REPORTE!$B$3:$AV$200,23,FALSE)/1000000</f>
        <v>166.44575699999999</v>
      </c>
      <c r="W106" s="36">
        <f t="shared" ref="W106" si="336">IF(H106=0,"",IF(H106="","",V106/$H106))</f>
        <v>8.7603029999999988E-3</v>
      </c>
      <c r="X106" s="145">
        <f t="shared" ref="X106" si="337">W106/U106</f>
        <v>5.6518083870967732E-2</v>
      </c>
      <c r="Z106" s="35">
        <f>VLOOKUP($B106,REPORTE!$B$3:$AV$200,20,FALSE)/1000000</f>
        <v>3886.6009650000001</v>
      </c>
      <c r="AA106" s="36">
        <f t="shared" ref="AA106" si="338">IF(F106=0,"",IF(F106="","",Z106/$F106))</f>
        <v>0.20455794552631579</v>
      </c>
      <c r="AB106" s="60">
        <f t="shared" ref="AB106" si="339">AA106/$J106</f>
        <v>0.58439223434859411</v>
      </c>
      <c r="AC106" s="35">
        <f t="shared" ref="AC106" si="340">F106-Z106</f>
        <v>15113.399035</v>
      </c>
      <c r="AD106" s="35">
        <f>VLOOKUP($B106,REPORTE!$B$3:$AV$200,22,FALSE)/1000000</f>
        <v>166.44575699999999</v>
      </c>
      <c r="AE106" s="36">
        <f t="shared" ref="AE106" si="341">IF(F106=0,"",IF(F106="","",AD106/$F106))</f>
        <v>8.7603029999999988E-3</v>
      </c>
      <c r="AF106" s="127">
        <f t="shared" ref="AF106" si="342">AE106/P106</f>
        <v>5.4070928938761809E-2</v>
      </c>
    </row>
    <row r="107" spans="1:32">
      <c r="A107" s="290" t="s">
        <v>245</v>
      </c>
      <c r="B107" s="291"/>
      <c r="C107" s="260">
        <f>SUM(C94:C106)</f>
        <v>139640.50398400001</v>
      </c>
      <c r="D107" s="260">
        <f t="shared" ref="D107:H107" si="343">SUM(D94:D106)</f>
        <v>0</v>
      </c>
      <c r="E107" s="260">
        <f t="shared" si="343"/>
        <v>0</v>
      </c>
      <c r="F107" s="260">
        <f t="shared" si="343"/>
        <v>139640.50398400001</v>
      </c>
      <c r="G107" s="260">
        <f t="shared" si="343"/>
        <v>0</v>
      </c>
      <c r="H107" s="260">
        <f t="shared" si="343"/>
        <v>139640.50398400001</v>
      </c>
      <c r="I107" s="260">
        <f t="shared" si="296"/>
        <v>48879.113938032562</v>
      </c>
      <c r="J107" s="261">
        <f t="shared" si="250"/>
        <v>0.3500353589645675</v>
      </c>
      <c r="K107" s="260">
        <f>SUM(K94:K106)</f>
        <v>48352.100395829999</v>
      </c>
      <c r="L107" s="261">
        <f t="shared" ref="L107" si="344">K107/$H107</f>
        <v>0.34626128534576311</v>
      </c>
      <c r="M107" s="262">
        <f t="shared" si="298"/>
        <v>0.98921802177366192</v>
      </c>
      <c r="N107" s="260">
        <f>SUM(N94:N106)</f>
        <v>91288.403588169982</v>
      </c>
      <c r="O107" s="260">
        <f>SUM(O94:O106)</f>
        <v>22623.859992455305</v>
      </c>
      <c r="P107" s="261">
        <f t="shared" si="255"/>
        <v>0.1620150267793902</v>
      </c>
      <c r="Q107" s="260">
        <f>SUM(Q94:Q106)</f>
        <v>3761.2422243599999</v>
      </c>
      <c r="R107" s="261">
        <f t="shared" ref="R107" si="345">Q107/$H107</f>
        <v>2.6935180818245703E-2</v>
      </c>
      <c r="S107" s="262">
        <f t="shared" si="302"/>
        <v>0.1662511271557689</v>
      </c>
      <c r="T107" s="260">
        <f>SUM(T94:T106)</f>
        <v>21644.27811752</v>
      </c>
      <c r="U107" s="263">
        <f t="shared" si="259"/>
        <v>0.155</v>
      </c>
      <c r="V107" s="260">
        <f>SUM(V94:V106)</f>
        <v>3761.2422243599999</v>
      </c>
      <c r="W107" s="261">
        <f t="shared" ref="W107" si="346">V107/$H107</f>
        <v>2.6935180818245703E-2</v>
      </c>
      <c r="X107" s="264">
        <f t="shared" si="305"/>
        <v>0.17377536011771422</v>
      </c>
      <c r="Z107" s="260">
        <f>SUM(Z94:Z106)</f>
        <v>48352.100395829999</v>
      </c>
      <c r="AA107" s="261">
        <f>Z107/$F107</f>
        <v>0.34626128534576311</v>
      </c>
      <c r="AB107" s="262">
        <f t="shared" si="307"/>
        <v>0.98921802177366192</v>
      </c>
      <c r="AC107" s="260">
        <f>SUM(AC94:AC106)</f>
        <v>91288.403588169982</v>
      </c>
      <c r="AD107" s="260">
        <f>SUM(AD94:AD106)</f>
        <v>3761.2422243599999</v>
      </c>
      <c r="AE107" s="261">
        <f>AD107/$F107</f>
        <v>2.6935180818245703E-2</v>
      </c>
      <c r="AF107" s="264">
        <f t="shared" si="310"/>
        <v>0.1662511271557689</v>
      </c>
    </row>
    <row r="108" spans="1:32" ht="32.25" customHeight="1" thickBot="1">
      <c r="A108" s="321" t="s">
        <v>282</v>
      </c>
      <c r="B108" s="322"/>
      <c r="C108" s="322"/>
      <c r="D108" s="322"/>
      <c r="E108" s="322"/>
      <c r="F108" s="322"/>
      <c r="G108" s="322"/>
      <c r="H108" s="322"/>
      <c r="I108" s="322"/>
      <c r="J108" s="322"/>
      <c r="K108" s="322"/>
      <c r="L108" s="322"/>
      <c r="M108" s="322"/>
      <c r="N108" s="322"/>
      <c r="O108" s="322"/>
      <c r="P108" s="322"/>
      <c r="Q108" s="322"/>
      <c r="R108" s="322"/>
      <c r="S108" s="322"/>
      <c r="T108" s="322"/>
      <c r="U108" s="322"/>
      <c r="V108" s="322"/>
      <c r="W108" s="322"/>
      <c r="X108" s="322"/>
      <c r="Y108" s="322"/>
      <c r="Z108" s="322"/>
      <c r="AA108" s="322"/>
      <c r="AB108" s="322"/>
      <c r="AC108" s="322"/>
      <c r="AD108" s="322"/>
      <c r="AE108" s="322"/>
      <c r="AF108" s="323"/>
    </row>
    <row r="109" spans="1:32" ht="20.25" thickTop="1" thickBot="1"/>
    <row r="110" spans="1:32" ht="61.5" customHeight="1" thickTop="1">
      <c r="A110" s="314" t="s">
        <v>539</v>
      </c>
      <c r="B110" s="315"/>
      <c r="C110" s="315"/>
      <c r="D110" s="315"/>
      <c r="E110" s="315"/>
      <c r="F110" s="315"/>
      <c r="G110" s="315"/>
      <c r="H110" s="315"/>
      <c r="I110" s="315"/>
      <c r="J110" s="315"/>
      <c r="K110" s="315"/>
      <c r="L110" s="315"/>
      <c r="M110" s="315"/>
      <c r="N110" s="315"/>
      <c r="O110" s="315"/>
      <c r="P110" s="315"/>
      <c r="Q110" s="315"/>
      <c r="R110" s="315"/>
      <c r="S110" s="315"/>
      <c r="T110" s="315"/>
      <c r="U110" s="315"/>
      <c r="V110" s="315"/>
      <c r="W110" s="315"/>
      <c r="X110" s="315"/>
      <c r="Y110" s="315"/>
      <c r="Z110" s="315"/>
      <c r="AA110" s="315"/>
      <c r="AB110" s="315"/>
      <c r="AC110" s="315"/>
      <c r="AD110" s="315"/>
      <c r="AE110" s="315"/>
      <c r="AF110" s="316"/>
    </row>
    <row r="111" spans="1:32" ht="18" customHeight="1">
      <c r="A111" s="23"/>
      <c r="B111" s="20"/>
      <c r="C111" s="20"/>
      <c r="D111" s="20"/>
      <c r="E111" s="20"/>
      <c r="F111" s="20"/>
      <c r="G111" s="20"/>
      <c r="H111" s="20"/>
      <c r="I111" s="20"/>
      <c r="J111" s="63"/>
      <c r="K111" s="20"/>
      <c r="L111" s="20"/>
      <c r="O111" s="310" t="s">
        <v>283</v>
      </c>
      <c r="P111" s="310"/>
      <c r="Q111" s="318">
        <f>$C$3</f>
        <v>45026</v>
      </c>
      <c r="R111" s="318"/>
      <c r="S111" s="318"/>
      <c r="T111" s="310"/>
      <c r="U111" s="310"/>
      <c r="V111" s="306"/>
      <c r="W111" s="306"/>
      <c r="X111" s="307"/>
      <c r="Z111" s="20"/>
      <c r="AA111" s="20"/>
      <c r="AF111" s="133"/>
    </row>
    <row r="112" spans="1:32" ht="26.25" customHeight="1">
      <c r="A112" s="292" t="s">
        <v>226</v>
      </c>
      <c r="B112" s="293"/>
      <c r="C112" s="293"/>
      <c r="D112" s="293"/>
      <c r="E112" s="293"/>
      <c r="F112" s="293"/>
      <c r="G112" s="293"/>
      <c r="H112" s="293"/>
      <c r="I112" s="294" t="s">
        <v>2</v>
      </c>
      <c r="J112" s="295"/>
      <c r="K112" s="295"/>
      <c r="L112" s="295"/>
      <c r="M112" s="295"/>
      <c r="N112" s="296" t="s">
        <v>367</v>
      </c>
      <c r="O112" s="298" t="s">
        <v>3</v>
      </c>
      <c r="P112" s="299"/>
      <c r="Q112" s="299"/>
      <c r="R112" s="299"/>
      <c r="S112" s="300"/>
      <c r="T112" s="301" t="s">
        <v>113</v>
      </c>
      <c r="U112" s="301"/>
      <c r="V112" s="301"/>
      <c r="W112" s="301"/>
      <c r="X112" s="302"/>
      <c r="Z112" s="299" t="s">
        <v>2</v>
      </c>
      <c r="AA112" s="299"/>
      <c r="AB112" s="300"/>
      <c r="AC112" s="296" t="s">
        <v>367</v>
      </c>
      <c r="AD112" s="299" t="s">
        <v>3</v>
      </c>
      <c r="AE112" s="299"/>
      <c r="AF112" s="308"/>
    </row>
    <row r="113" spans="1:32" ht="33" customHeight="1">
      <c r="A113" s="256" t="s">
        <v>0</v>
      </c>
      <c r="B113" s="257" t="s">
        <v>243</v>
      </c>
      <c r="C113" s="255" t="s">
        <v>361</v>
      </c>
      <c r="D113" s="257" t="s">
        <v>355</v>
      </c>
      <c r="E113" s="257" t="s">
        <v>356</v>
      </c>
      <c r="F113" s="255" t="s">
        <v>1</v>
      </c>
      <c r="G113" s="255" t="s">
        <v>362</v>
      </c>
      <c r="H113" s="255" t="s">
        <v>358</v>
      </c>
      <c r="I113" s="255" t="s">
        <v>257</v>
      </c>
      <c r="J113" s="266" t="s">
        <v>4</v>
      </c>
      <c r="K113" s="255" t="s">
        <v>5</v>
      </c>
      <c r="L113" s="303" t="s">
        <v>4</v>
      </c>
      <c r="M113" s="304"/>
      <c r="N113" s="297"/>
      <c r="O113" s="255" t="str">
        <f>I113</f>
        <v>Meta</v>
      </c>
      <c r="P113" s="266" t="s">
        <v>4</v>
      </c>
      <c r="Q113" s="255" t="s">
        <v>5</v>
      </c>
      <c r="R113" s="303" t="s">
        <v>4</v>
      </c>
      <c r="S113" s="304"/>
      <c r="T113" s="255" t="str">
        <f>O113</f>
        <v>Meta</v>
      </c>
      <c r="U113" s="255" t="s">
        <v>4</v>
      </c>
      <c r="V113" s="255" t="s">
        <v>5</v>
      </c>
      <c r="W113" s="303" t="s">
        <v>4</v>
      </c>
      <c r="X113" s="305"/>
      <c r="Z113" s="255" t="s">
        <v>5</v>
      </c>
      <c r="AA113" s="303" t="s">
        <v>4</v>
      </c>
      <c r="AB113" s="304"/>
      <c r="AC113" s="297"/>
      <c r="AD113" s="255" t="s">
        <v>5</v>
      </c>
      <c r="AE113" s="303" t="s">
        <v>4</v>
      </c>
      <c r="AF113" s="309"/>
    </row>
    <row r="114" spans="1:32" s="41" customFormat="1" ht="24" customHeight="1">
      <c r="A114" s="38" t="s">
        <v>20</v>
      </c>
      <c r="B114" s="34" t="s">
        <v>20</v>
      </c>
      <c r="C114" s="35">
        <f>VLOOKUP(B114,REPORTE!$B$3:$AS$200,14,FALSE)/1000000</f>
        <v>9400</v>
      </c>
      <c r="D114" s="35">
        <f>VLOOKUP(B114,REPORTE!$B$3:$AS$200,15,FALSE)/1000000</f>
        <v>0</v>
      </c>
      <c r="E114" s="35">
        <f>VLOOKUP(B114,REPORTE!$B$3:$AS$200,16,FALSE)/1000000</f>
        <v>0</v>
      </c>
      <c r="F114" s="35">
        <f>VLOOKUP(B114,REPORTE!$B$3:$AS$200,17,FALSE)/1000000</f>
        <v>9400</v>
      </c>
      <c r="G114" s="35">
        <f>(VLOOKUP(B114,REPORTE!$B$3:$AS$200,18,FALSE)/1000000)</f>
        <v>0</v>
      </c>
      <c r="H114" s="35">
        <f>F114-G114</f>
        <v>9400</v>
      </c>
      <c r="I114" s="35">
        <f>J114*$H114</f>
        <v>3290.3323742669345</v>
      </c>
      <c r="J114" s="36">
        <f t="shared" ref="J114:J118" si="347">$J$6</f>
        <v>0.3500353589645675</v>
      </c>
      <c r="K114" s="35">
        <f>VLOOKUP($B114,REPORTE!$B$3:$AS$200,20,FALSE)/1000000</f>
        <v>9400</v>
      </c>
      <c r="L114" s="36">
        <f t="shared" ref="L114:L117" si="348">IF(H114=0,"",IF(H114="","",K114/$H114))</f>
        <v>1</v>
      </c>
      <c r="M114" s="60">
        <f t="shared" ref="M114:M118" si="349">L114/J114</f>
        <v>2.8568542416916958</v>
      </c>
      <c r="N114" s="35">
        <f t="shared" ref="N114:N117" si="350">H114-K114</f>
        <v>0</v>
      </c>
      <c r="O114" s="35">
        <f>P114*$H114</f>
        <v>1522.9412517262679</v>
      </c>
      <c r="P114" s="36">
        <f t="shared" ref="P114:P118" si="351">$P$6</f>
        <v>0.1620150267793902</v>
      </c>
      <c r="Q114" s="35">
        <f>VLOOKUP($B114,REPORTE!$B$3:$AS$200,22,FALSE)/1000000</f>
        <v>2350</v>
      </c>
      <c r="R114" s="36">
        <f>IF(H114=0,"",IF(H114="","",Q114/$H114))</f>
        <v>0.25</v>
      </c>
      <c r="S114" s="60">
        <f>R114/P114</f>
        <v>1.5430667449162949</v>
      </c>
      <c r="T114" s="39">
        <f>U114*$H114</f>
        <v>1457</v>
      </c>
      <c r="U114" s="40">
        <f t="shared" ref="U114:U118" si="352">$U$6</f>
        <v>0.155</v>
      </c>
      <c r="V114" s="35">
        <f>VLOOKUP($B114,REPORTE!$B$3:$AS$200,23,FALSE)/1000000</f>
        <v>2350</v>
      </c>
      <c r="W114" s="36">
        <f>IF(H114=0,"",IF(H114="","",V114/$H114))</f>
        <v>0.25</v>
      </c>
      <c r="X114" s="145">
        <f t="shared" ref="X114:X118" si="353">W114/U114</f>
        <v>1.6129032258064517</v>
      </c>
      <c r="Z114" s="35">
        <f>VLOOKUP($B114,REPORTE!$B$3:$AS$200,20,FALSE)/1000000</f>
        <v>9400</v>
      </c>
      <c r="AA114" s="36">
        <f>IF(F114=0,"",IF(F114="","",Z114/$F114))</f>
        <v>1</v>
      </c>
      <c r="AB114" s="60">
        <f>AA114/$J114</f>
        <v>2.8568542416916958</v>
      </c>
      <c r="AC114" s="35">
        <f t="shared" ref="AC114:AC117" si="354">F114-Z114</f>
        <v>0</v>
      </c>
      <c r="AD114" s="35">
        <f>VLOOKUP($B114,REPORTE!$B$3:$AS$200,22,FALSE)/1000000</f>
        <v>2350</v>
      </c>
      <c r="AE114" s="36">
        <f>IF(F114=0,"",IF(F114="","",AD114/$F114))</f>
        <v>0.25</v>
      </c>
      <c r="AF114" s="127">
        <f>AE114/P114</f>
        <v>1.5430667449162949</v>
      </c>
    </row>
    <row r="115" spans="1:32" s="41" customFormat="1" ht="24" customHeight="1">
      <c r="A115" s="38" t="s">
        <v>21</v>
      </c>
      <c r="B115" s="34" t="s">
        <v>21</v>
      </c>
      <c r="C115" s="35">
        <f>VLOOKUP(B115,REPORTE!$B$3:$AS$200,14,FALSE)/1000000</f>
        <v>11100</v>
      </c>
      <c r="D115" s="35">
        <f>VLOOKUP(B115,REPORTE!$B$3:$AS$200,15,FALSE)/1000000</f>
        <v>0</v>
      </c>
      <c r="E115" s="35">
        <f>VLOOKUP(B115,REPORTE!$B$3:$AS$200,16,FALSE)/1000000</f>
        <v>0</v>
      </c>
      <c r="F115" s="35">
        <f>VLOOKUP(B115,REPORTE!$B$3:$AS$200,17,FALSE)/1000000</f>
        <v>11100</v>
      </c>
      <c r="G115" s="35">
        <f>(VLOOKUP(B115,REPORTE!$B$3:$AS$200,18,FALSE)/1000000)</f>
        <v>0</v>
      </c>
      <c r="H115" s="35">
        <f t="shared" ref="H115:H117" si="355">F115-G115</f>
        <v>11100</v>
      </c>
      <c r="I115" s="35">
        <f>J115*$H115</f>
        <v>3885.3924845066995</v>
      </c>
      <c r="J115" s="36">
        <f t="shared" si="347"/>
        <v>0.3500353589645675</v>
      </c>
      <c r="K115" s="35">
        <f>VLOOKUP($B115,REPORTE!$B$3:$AS$200,20,FALSE)/1000000</f>
        <v>11100</v>
      </c>
      <c r="L115" s="36">
        <f t="shared" si="348"/>
        <v>1</v>
      </c>
      <c r="M115" s="60">
        <f t="shared" si="349"/>
        <v>2.8568542416916958</v>
      </c>
      <c r="N115" s="35">
        <f t="shared" si="350"/>
        <v>0</v>
      </c>
      <c r="O115" s="35">
        <f>P115*$H115</f>
        <v>1798.3667972512312</v>
      </c>
      <c r="P115" s="36">
        <f t="shared" si="351"/>
        <v>0.1620150267793902</v>
      </c>
      <c r="Q115" s="35">
        <f>VLOOKUP($B115,REPORTE!$B$3:$AS$200,22,FALSE)/1000000</f>
        <v>2775</v>
      </c>
      <c r="R115" s="36">
        <f>IF(H115=0,"",IF(H115="","",Q115/$H115))</f>
        <v>0.25</v>
      </c>
      <c r="S115" s="60">
        <f>R115/P115</f>
        <v>1.5430667449162949</v>
      </c>
      <c r="T115" s="35">
        <f>U115*$H115</f>
        <v>1720.5</v>
      </c>
      <c r="U115" s="40">
        <f t="shared" si="352"/>
        <v>0.155</v>
      </c>
      <c r="V115" s="35">
        <f>VLOOKUP($B115,REPORTE!$B$3:$AS$200,23,FALSE)/1000000</f>
        <v>2775</v>
      </c>
      <c r="W115" s="36">
        <f>IF(H115=0,"",IF(H115="","",V115/$H115))</f>
        <v>0.25</v>
      </c>
      <c r="X115" s="145">
        <f t="shared" si="353"/>
        <v>1.6129032258064517</v>
      </c>
      <c r="Z115" s="35">
        <f>VLOOKUP($B115,REPORTE!$B$3:$AS$200,20,FALSE)/1000000</f>
        <v>11100</v>
      </c>
      <c r="AA115" s="36">
        <f>IF(F115=0,"",IF(F115="","",Z115/$F115))</f>
        <v>1</v>
      </c>
      <c r="AB115" s="60">
        <f>AA115/$J115</f>
        <v>2.8568542416916958</v>
      </c>
      <c r="AC115" s="35">
        <f t="shared" si="354"/>
        <v>0</v>
      </c>
      <c r="AD115" s="35">
        <f>VLOOKUP($B115,REPORTE!$B$3:$AS$200,22,FALSE)/1000000</f>
        <v>2775</v>
      </c>
      <c r="AE115" s="36">
        <f>IF(F115=0,"",IF(F115="","",AD115/$F115))</f>
        <v>0.25</v>
      </c>
      <c r="AF115" s="127">
        <f>AE115/P115</f>
        <v>1.5430667449162949</v>
      </c>
    </row>
    <row r="116" spans="1:32" s="41" customFormat="1" ht="24" customHeight="1">
      <c r="A116" s="38" t="s">
        <v>22</v>
      </c>
      <c r="B116" s="34" t="s">
        <v>22</v>
      </c>
      <c r="C116" s="35">
        <f>VLOOKUP(B116,REPORTE!$B$3:$AS$200,14,FALSE)/1000000</f>
        <v>6500</v>
      </c>
      <c r="D116" s="35">
        <f>VLOOKUP(B116,REPORTE!$B$3:$AS$200,15,FALSE)/1000000</f>
        <v>0</v>
      </c>
      <c r="E116" s="35">
        <f>VLOOKUP(B116,REPORTE!$B$3:$AS$200,16,FALSE)/1000000</f>
        <v>0</v>
      </c>
      <c r="F116" s="35">
        <f>VLOOKUP(B116,REPORTE!$B$3:$AS$200,17,FALSE)/1000000</f>
        <v>6500</v>
      </c>
      <c r="G116" s="35">
        <f>(VLOOKUP(B116,REPORTE!$B$3:$AS$200,18,FALSE)/1000000)</f>
        <v>0</v>
      </c>
      <c r="H116" s="35">
        <f t="shared" si="355"/>
        <v>6500</v>
      </c>
      <c r="I116" s="35">
        <f>J116*$H116</f>
        <v>2275.2298332696887</v>
      </c>
      <c r="J116" s="36">
        <f t="shared" si="347"/>
        <v>0.3500353589645675</v>
      </c>
      <c r="K116" s="35">
        <f>VLOOKUP($B116,REPORTE!$B$3:$AS$200,20,FALSE)/1000000</f>
        <v>6500</v>
      </c>
      <c r="L116" s="36">
        <f t="shared" si="348"/>
        <v>1</v>
      </c>
      <c r="M116" s="60">
        <f t="shared" si="349"/>
        <v>2.8568542416916958</v>
      </c>
      <c r="N116" s="35">
        <f t="shared" si="350"/>
        <v>0</v>
      </c>
      <c r="O116" s="35">
        <f>P116*$H116</f>
        <v>1053.0976740660362</v>
      </c>
      <c r="P116" s="36">
        <f t="shared" si="351"/>
        <v>0.1620150267793902</v>
      </c>
      <c r="Q116" s="35">
        <f>VLOOKUP($B116,REPORTE!$B$3:$AS$200,22,FALSE)/1000000</f>
        <v>2056.6373666700001</v>
      </c>
      <c r="R116" s="36">
        <f>IF(H116=0,"",IF(H116="","",Q116/$H116))</f>
        <v>0.31640574871846155</v>
      </c>
      <c r="S116" s="60">
        <f>R116/P116</f>
        <v>1.9529407549911986</v>
      </c>
      <c r="T116" s="35">
        <f>U116*$H116</f>
        <v>1007.5</v>
      </c>
      <c r="U116" s="40">
        <f t="shared" si="352"/>
        <v>0.155</v>
      </c>
      <c r="V116" s="35">
        <f>VLOOKUP($B116,REPORTE!$B$3:$AS$200,23,FALSE)/1000000</f>
        <v>2056.6373666700001</v>
      </c>
      <c r="W116" s="36">
        <f>IF(H116=0,"",IF(H116="","",V116/$H116))</f>
        <v>0.31640574871846155</v>
      </c>
      <c r="X116" s="145">
        <f t="shared" si="353"/>
        <v>2.0413274110868489</v>
      </c>
      <c r="Z116" s="35">
        <f>VLOOKUP($B116,REPORTE!$B$3:$AS$200,20,FALSE)/1000000</f>
        <v>6500</v>
      </c>
      <c r="AA116" s="36">
        <f>IF(F116=0,"",IF(F116="","",Z116/$F116))</f>
        <v>1</v>
      </c>
      <c r="AB116" s="60">
        <f>AA116/$J116</f>
        <v>2.8568542416916958</v>
      </c>
      <c r="AC116" s="35">
        <f t="shared" si="354"/>
        <v>0</v>
      </c>
      <c r="AD116" s="35">
        <f>VLOOKUP($B116,REPORTE!$B$3:$AS$200,22,FALSE)/1000000</f>
        <v>2056.6373666700001</v>
      </c>
      <c r="AE116" s="36">
        <f>IF(F116=0,"",IF(F116="","",AD116/$F116))</f>
        <v>0.31640574871846155</v>
      </c>
      <c r="AF116" s="127">
        <f>AE116/P116</f>
        <v>1.9529407549911986</v>
      </c>
    </row>
    <row r="117" spans="1:32" s="41" customFormat="1" ht="24" customHeight="1">
      <c r="A117" s="38" t="s">
        <v>23</v>
      </c>
      <c r="B117" s="34" t="s">
        <v>23</v>
      </c>
      <c r="C117" s="35">
        <f>VLOOKUP(B117,REPORTE!$B$3:$AS$200,14,FALSE)/1000000</f>
        <v>13000</v>
      </c>
      <c r="D117" s="35">
        <f>VLOOKUP(B117,REPORTE!$B$3:$AS$200,15,FALSE)/1000000</f>
        <v>0</v>
      </c>
      <c r="E117" s="35">
        <f>VLOOKUP(B117,REPORTE!$B$3:$AS$200,16,FALSE)/1000000</f>
        <v>0</v>
      </c>
      <c r="F117" s="35">
        <f>VLOOKUP(B117,REPORTE!$B$3:$AS$200,17,FALSE)/1000000</f>
        <v>13000</v>
      </c>
      <c r="G117" s="35">
        <f>(VLOOKUP(B117,REPORTE!$B$3:$AS$200,18,FALSE)/1000000)</f>
        <v>0</v>
      </c>
      <c r="H117" s="35">
        <f t="shared" si="355"/>
        <v>13000</v>
      </c>
      <c r="I117" s="35">
        <f>J117*$H117</f>
        <v>4550.4596665393774</v>
      </c>
      <c r="J117" s="36">
        <f t="shared" si="347"/>
        <v>0.3500353589645675</v>
      </c>
      <c r="K117" s="35">
        <f>VLOOKUP($B117,REPORTE!$B$3:$AS$200,20,FALSE)/1000000</f>
        <v>13000</v>
      </c>
      <c r="L117" s="36">
        <f t="shared" si="348"/>
        <v>1</v>
      </c>
      <c r="M117" s="60">
        <f t="shared" si="349"/>
        <v>2.8568542416916958</v>
      </c>
      <c r="N117" s="35">
        <f t="shared" si="350"/>
        <v>0</v>
      </c>
      <c r="O117" s="35">
        <f>P117*$H117</f>
        <v>2106.1953481320725</v>
      </c>
      <c r="P117" s="36">
        <f t="shared" si="351"/>
        <v>0.1620150267793902</v>
      </c>
      <c r="Q117" s="35">
        <f>VLOOKUP($B117,REPORTE!$B$3:$AS$200,22,FALSE)/1000000</f>
        <v>3250</v>
      </c>
      <c r="R117" s="36">
        <f>IF(H117=0,"",IF(H117="","",Q117/$H117))</f>
        <v>0.25</v>
      </c>
      <c r="S117" s="60">
        <f>R117/P117</f>
        <v>1.5430667449162949</v>
      </c>
      <c r="T117" s="35">
        <f>U117*$H117</f>
        <v>2015</v>
      </c>
      <c r="U117" s="40">
        <f t="shared" si="352"/>
        <v>0.155</v>
      </c>
      <c r="V117" s="35">
        <f>VLOOKUP($B117,REPORTE!$B$3:$AS$200,23,FALSE)/1000000</f>
        <v>3250</v>
      </c>
      <c r="W117" s="36">
        <f>IF(H117=0,"",IF(H117="","",V117/$H117))</f>
        <v>0.25</v>
      </c>
      <c r="X117" s="145">
        <f t="shared" si="353"/>
        <v>1.6129032258064517</v>
      </c>
      <c r="Z117" s="35">
        <f>VLOOKUP($B117,REPORTE!$B$3:$AS$200,20,FALSE)/1000000</f>
        <v>13000</v>
      </c>
      <c r="AA117" s="36">
        <f>IF(F117=0,"",IF(F117="","",Z117/$F117))</f>
        <v>1</v>
      </c>
      <c r="AB117" s="60">
        <f>AA117/$J117</f>
        <v>2.8568542416916958</v>
      </c>
      <c r="AC117" s="35">
        <f t="shared" si="354"/>
        <v>0</v>
      </c>
      <c r="AD117" s="35">
        <f>VLOOKUP($B117,REPORTE!$B$3:$AS$200,22,FALSE)/1000000</f>
        <v>3250</v>
      </c>
      <c r="AE117" s="36">
        <f>IF(F117=0,"",IF(F117="","",AD117/$F117))</f>
        <v>0.25</v>
      </c>
      <c r="AF117" s="127">
        <f>AE117/P117</f>
        <v>1.5430667449162949</v>
      </c>
    </row>
    <row r="118" spans="1:32">
      <c r="A118" s="290" t="s">
        <v>245</v>
      </c>
      <c r="B118" s="291"/>
      <c r="C118" s="260">
        <f t="shared" ref="C118" si="356">SUM(C114:C117)</f>
        <v>40000</v>
      </c>
      <c r="D118" s="260">
        <f t="shared" ref="D118" si="357">SUM(D114:D117)</f>
        <v>0</v>
      </c>
      <c r="E118" s="260">
        <f t="shared" ref="E118" si="358">SUM(E114:E117)</f>
        <v>0</v>
      </c>
      <c r="F118" s="260">
        <f t="shared" ref="F118" si="359">SUM(F114:F117)</f>
        <v>40000</v>
      </c>
      <c r="G118" s="260">
        <f t="shared" ref="G118" si="360">SUM(G114:G117)</f>
        <v>0</v>
      </c>
      <c r="H118" s="260">
        <f t="shared" ref="H118" si="361">SUM(H114:H117)</f>
        <v>40000</v>
      </c>
      <c r="I118" s="260">
        <f>J118*$H118</f>
        <v>14001.414358582701</v>
      </c>
      <c r="J118" s="261">
        <f t="shared" si="347"/>
        <v>0.3500353589645675</v>
      </c>
      <c r="K118" s="260">
        <f>SUM(K114:K117)</f>
        <v>40000</v>
      </c>
      <c r="L118" s="261">
        <f>K118/$H118</f>
        <v>1</v>
      </c>
      <c r="M118" s="262">
        <f t="shared" si="349"/>
        <v>2.8568542416916958</v>
      </c>
      <c r="N118" s="260">
        <f>SUM(N114:N117)</f>
        <v>0</v>
      </c>
      <c r="O118" s="260">
        <f>SUM(O114:O117)</f>
        <v>6480.601071175608</v>
      </c>
      <c r="P118" s="261">
        <f t="shared" si="351"/>
        <v>0.1620150267793902</v>
      </c>
      <c r="Q118" s="260">
        <f>SUM(Q114:Q117)</f>
        <v>10431.63736667</v>
      </c>
      <c r="R118" s="261">
        <f>Q118/$H118</f>
        <v>0.26079093416674998</v>
      </c>
      <c r="S118" s="262">
        <f>R118/P118</f>
        <v>1.6096712715534667</v>
      </c>
      <c r="T118" s="260">
        <f>SUM(T114:T117)</f>
        <v>6200</v>
      </c>
      <c r="U118" s="263">
        <f t="shared" si="352"/>
        <v>0.155</v>
      </c>
      <c r="V118" s="260">
        <f>SUM(V114:V117)</f>
        <v>10431.63736667</v>
      </c>
      <c r="W118" s="261">
        <f>V118/$H118</f>
        <v>0.26079093416674998</v>
      </c>
      <c r="X118" s="264">
        <f t="shared" si="353"/>
        <v>1.682522155914516</v>
      </c>
      <c r="Z118" s="260">
        <f>SUM(Z114:Z117)</f>
        <v>40000</v>
      </c>
      <c r="AA118" s="261">
        <f>Z118/$F118</f>
        <v>1</v>
      </c>
      <c r="AB118" s="262">
        <f>AA118/$J118</f>
        <v>2.8568542416916958</v>
      </c>
      <c r="AC118" s="260">
        <f>SUM(AC114:AC117)</f>
        <v>0</v>
      </c>
      <c r="AD118" s="260">
        <f>SUM(AD114:AD117)</f>
        <v>10431.63736667</v>
      </c>
      <c r="AE118" s="261">
        <f>AD118/$F118</f>
        <v>0.26079093416674998</v>
      </c>
      <c r="AF118" s="264">
        <f>AE118/P118</f>
        <v>1.6096712715534667</v>
      </c>
    </row>
    <row r="119" spans="1:32" ht="32.25" customHeight="1" thickBot="1">
      <c r="A119" s="321" t="s">
        <v>282</v>
      </c>
      <c r="B119" s="322"/>
      <c r="C119" s="322"/>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2"/>
      <c r="AD119" s="322"/>
      <c r="AE119" s="322"/>
      <c r="AF119" s="323"/>
    </row>
    <row r="120" spans="1:32" ht="20.25" thickTop="1" thickBot="1"/>
    <row r="121" spans="1:32" ht="64.5" customHeight="1" thickTop="1">
      <c r="A121" s="314" t="s">
        <v>540</v>
      </c>
      <c r="B121" s="315"/>
      <c r="C121" s="315"/>
      <c r="D121" s="315"/>
      <c r="E121" s="315"/>
      <c r="F121" s="315"/>
      <c r="G121" s="315"/>
      <c r="H121" s="315"/>
      <c r="I121" s="315"/>
      <c r="J121" s="315"/>
      <c r="K121" s="315"/>
      <c r="L121" s="315"/>
      <c r="M121" s="315"/>
      <c r="N121" s="315"/>
      <c r="O121" s="315"/>
      <c r="P121" s="315"/>
      <c r="Q121" s="315"/>
      <c r="R121" s="315"/>
      <c r="S121" s="315"/>
      <c r="T121" s="315"/>
      <c r="U121" s="315"/>
      <c r="V121" s="315"/>
      <c r="W121" s="315"/>
      <c r="X121" s="315"/>
      <c r="Y121" s="315"/>
      <c r="Z121" s="315"/>
      <c r="AA121" s="315"/>
      <c r="AB121" s="315"/>
      <c r="AC121" s="315"/>
      <c r="AD121" s="315"/>
      <c r="AE121" s="315"/>
      <c r="AF121" s="316"/>
    </row>
    <row r="122" spans="1:32" ht="18" customHeight="1">
      <c r="A122" s="23"/>
      <c r="B122" s="20"/>
      <c r="C122" s="20"/>
      <c r="D122" s="20"/>
      <c r="E122" s="20"/>
      <c r="F122" s="20"/>
      <c r="G122" s="20"/>
      <c r="H122" s="20"/>
      <c r="I122" s="20"/>
      <c r="J122" s="63"/>
      <c r="K122" s="20"/>
      <c r="L122" s="20"/>
      <c r="O122" s="310" t="s">
        <v>283</v>
      </c>
      <c r="P122" s="310"/>
      <c r="Q122" s="318">
        <f>$C$3</f>
        <v>45026</v>
      </c>
      <c r="R122" s="318"/>
      <c r="S122" s="318"/>
      <c r="T122" s="310"/>
      <c r="U122" s="310"/>
      <c r="V122" s="306"/>
      <c r="W122" s="306"/>
      <c r="X122" s="307"/>
      <c r="Z122" s="20"/>
      <c r="AA122" s="20"/>
      <c r="AF122" s="133"/>
    </row>
    <row r="123" spans="1:32" ht="26.25" customHeight="1">
      <c r="A123" s="292" t="s">
        <v>280</v>
      </c>
      <c r="B123" s="293"/>
      <c r="C123" s="293"/>
      <c r="D123" s="293"/>
      <c r="E123" s="293"/>
      <c r="F123" s="293"/>
      <c r="G123" s="293"/>
      <c r="H123" s="293"/>
      <c r="I123" s="294" t="s">
        <v>2</v>
      </c>
      <c r="J123" s="295"/>
      <c r="K123" s="295"/>
      <c r="L123" s="295"/>
      <c r="M123" s="295"/>
      <c r="N123" s="296" t="s">
        <v>367</v>
      </c>
      <c r="O123" s="298" t="s">
        <v>3</v>
      </c>
      <c r="P123" s="299"/>
      <c r="Q123" s="299"/>
      <c r="R123" s="299"/>
      <c r="S123" s="300"/>
      <c r="T123" s="301" t="s">
        <v>113</v>
      </c>
      <c r="U123" s="301"/>
      <c r="V123" s="301"/>
      <c r="W123" s="301"/>
      <c r="X123" s="302"/>
      <c r="Z123" s="299" t="s">
        <v>2</v>
      </c>
      <c r="AA123" s="299"/>
      <c r="AB123" s="300"/>
      <c r="AC123" s="296" t="s">
        <v>367</v>
      </c>
      <c r="AD123" s="299" t="s">
        <v>3</v>
      </c>
      <c r="AE123" s="299"/>
      <c r="AF123" s="308"/>
    </row>
    <row r="124" spans="1:32" ht="33" customHeight="1">
      <c r="A124" s="256" t="s">
        <v>0</v>
      </c>
      <c r="B124" s="257" t="s">
        <v>243</v>
      </c>
      <c r="C124" s="255" t="s">
        <v>361</v>
      </c>
      <c r="D124" s="257" t="s">
        <v>355</v>
      </c>
      <c r="E124" s="257" t="s">
        <v>356</v>
      </c>
      <c r="F124" s="255" t="s">
        <v>1</v>
      </c>
      <c r="G124" s="255" t="s">
        <v>362</v>
      </c>
      <c r="H124" s="255" t="s">
        <v>358</v>
      </c>
      <c r="I124" s="255" t="s">
        <v>257</v>
      </c>
      <c r="J124" s="266" t="s">
        <v>4</v>
      </c>
      <c r="K124" s="255" t="s">
        <v>5</v>
      </c>
      <c r="L124" s="303" t="s">
        <v>4</v>
      </c>
      <c r="M124" s="304"/>
      <c r="N124" s="297"/>
      <c r="O124" s="255" t="str">
        <f>I124</f>
        <v>Meta</v>
      </c>
      <c r="P124" s="266" t="s">
        <v>4</v>
      </c>
      <c r="Q124" s="255" t="s">
        <v>5</v>
      </c>
      <c r="R124" s="303" t="s">
        <v>4</v>
      </c>
      <c r="S124" s="304"/>
      <c r="T124" s="255" t="str">
        <f>O124</f>
        <v>Meta</v>
      </c>
      <c r="U124" s="255" t="s">
        <v>4</v>
      </c>
      <c r="V124" s="255" t="s">
        <v>5</v>
      </c>
      <c r="W124" s="303" t="s">
        <v>4</v>
      </c>
      <c r="X124" s="305"/>
      <c r="Z124" s="255" t="s">
        <v>5</v>
      </c>
      <c r="AA124" s="303" t="s">
        <v>4</v>
      </c>
      <c r="AB124" s="304"/>
      <c r="AC124" s="297"/>
      <c r="AD124" s="255" t="s">
        <v>5</v>
      </c>
      <c r="AE124" s="303" t="s">
        <v>4</v>
      </c>
      <c r="AF124" s="309"/>
    </row>
    <row r="125" spans="1:32" s="41" customFormat="1" ht="26.25" customHeight="1">
      <c r="A125" s="38" t="s">
        <v>6</v>
      </c>
      <c r="B125" s="34" t="s">
        <v>6</v>
      </c>
      <c r="C125" s="35">
        <f>VLOOKUP(B125,REPORTE!$B$3:$AS$200,2,FALSE)/1000000</f>
        <v>1892</v>
      </c>
      <c r="D125" s="35">
        <f>VLOOKUP(B125,REPORTE!$B$3:$AS$200,3,FALSE)/1000000</f>
        <v>0</v>
      </c>
      <c r="E125" s="35">
        <f>VLOOKUP(B125,REPORTE!$B$3:$AS$200,4,FALSE)/1000000</f>
        <v>0</v>
      </c>
      <c r="F125" s="35">
        <f>VLOOKUP(B125,REPORTE!$B$3:$AS$200,5,FALSE)/1000000</f>
        <v>1892</v>
      </c>
      <c r="G125" s="35">
        <f>(VLOOKUP(B125,REPORTE!$B$3:$AS$200,6,FALSE)/1000000)</f>
        <v>0</v>
      </c>
      <c r="H125" s="35">
        <f>F125-G125</f>
        <v>1892</v>
      </c>
      <c r="I125" s="35">
        <f t="shared" ref="I125:I130" si="362">J125*$H125</f>
        <v>662.26689916096166</v>
      </c>
      <c r="J125" s="36">
        <f t="shared" ref="J125:J130" si="363">$J$6</f>
        <v>0.3500353589645675</v>
      </c>
      <c r="K125" s="35">
        <f>VLOOKUP($B125,REPORTE!$B$3:$AS$200,8,FALSE)/1000000</f>
        <v>481.00908399999997</v>
      </c>
      <c r="L125" s="36">
        <f t="shared" ref="L125:L129" si="364">IF(H125=0,"",IF(H125="","",K125/$H125))</f>
        <v>0.25423313107822409</v>
      </c>
      <c r="M125" s="60">
        <f>L125/J125</f>
        <v>0.72630699889938544</v>
      </c>
      <c r="N125" s="35">
        <f>H125-K125</f>
        <v>1410.990916</v>
      </c>
      <c r="O125" s="35">
        <f t="shared" ref="O125:O129" si="365">P125*$H125</f>
        <v>662.26689916096166</v>
      </c>
      <c r="P125" s="36">
        <f>VLOOKUP($B125,REPORTE!$A$3:$N$69,13,FALSE)</f>
        <v>0.3500353589645675</v>
      </c>
      <c r="Q125" s="35">
        <f>VLOOKUP($B125,REPORTE!$B$3:$AS$200,10,FALSE)/1000000</f>
        <v>481.00908399999997</v>
      </c>
      <c r="R125" s="36">
        <f>IF(H125=0,"",IF(H125="","",Q125/$H125))</f>
        <v>0.25423313107822409</v>
      </c>
      <c r="S125" s="60">
        <f t="shared" ref="S125:S130" si="366">R125/P125</f>
        <v>0.72630699889938544</v>
      </c>
      <c r="T125" s="39">
        <f t="shared" ref="T125:T129" si="367">U125*$H125</f>
        <v>293.26</v>
      </c>
      <c r="U125" s="36">
        <f t="shared" ref="U125:U130" si="368">$U$6</f>
        <v>0.155</v>
      </c>
      <c r="V125" s="35">
        <f>VLOOKUP($B125,REPORTE!$B$3:$AS$200,11,FALSE)/1000000</f>
        <v>481.00908399999997</v>
      </c>
      <c r="W125" s="36">
        <f>IF(H125=0,"",IF(H125="","",V125/$H125))</f>
        <v>0.25423313107822409</v>
      </c>
      <c r="X125" s="145">
        <f>W125/U125</f>
        <v>1.6402137488917683</v>
      </c>
      <c r="Z125" s="35">
        <f>VLOOKUP($B125,REPORTE!$B$3:$AS$200,8,FALSE)/1000000</f>
        <v>481.00908399999997</v>
      </c>
      <c r="AA125" s="36">
        <f>IF(F125=0,"",IF(F125="","",Z125/$F125))</f>
        <v>0.25423313107822409</v>
      </c>
      <c r="AB125" s="60">
        <f t="shared" ref="AB125:AB130" si="369">AA125/$J125</f>
        <v>0.72630699889938544</v>
      </c>
      <c r="AC125" s="35">
        <f t="shared" ref="AC125:AC129" si="370">F125-Z125</f>
        <v>1410.990916</v>
      </c>
      <c r="AD125" s="35">
        <f>VLOOKUP($B125,REPORTE!$B$3:$AS$200,10,FALSE)/1000000</f>
        <v>481.00908399999997</v>
      </c>
      <c r="AE125" s="36">
        <f>IF(F125=0,"",IF(F125="","",AD125/$F125))</f>
        <v>0.25423313107822409</v>
      </c>
      <c r="AF125" s="127">
        <f t="shared" ref="AF125:AF130" si="371">AE125/P125</f>
        <v>0.72630699889938544</v>
      </c>
    </row>
    <row r="126" spans="1:32" s="41" customFormat="1" ht="26.25" customHeight="1">
      <c r="A126" s="38" t="s">
        <v>7</v>
      </c>
      <c r="B126" s="34" t="s">
        <v>7</v>
      </c>
      <c r="C126" s="35">
        <f>VLOOKUP(B126,REPORTE!$B$3:$AS$200,2,FALSE)/1000000</f>
        <v>180716.666513</v>
      </c>
      <c r="D126" s="35">
        <f>VLOOKUP(B126,REPORTE!$B$3:$AS$200,3,FALSE)/1000000</f>
        <v>0</v>
      </c>
      <c r="E126" s="35">
        <f>VLOOKUP(B126,REPORTE!$B$3:$AS$200,4,FALSE)/1000000</f>
        <v>0</v>
      </c>
      <c r="F126" s="35">
        <f>VLOOKUP(B126,REPORTE!$B$3:$AS$200,5,FALSE)/1000000</f>
        <v>180716.666513</v>
      </c>
      <c r="G126" s="35">
        <f>(VLOOKUP(B126,REPORTE!$B$3:$AS$200,6,FALSE)/1000000)</f>
        <v>0</v>
      </c>
      <c r="H126" s="35">
        <f t="shared" ref="H126:H129" si="372">F126-G126</f>
        <v>180716.666513</v>
      </c>
      <c r="I126" s="35">
        <f t="shared" si="362"/>
        <v>63257.223233757992</v>
      </c>
      <c r="J126" s="36">
        <f t="shared" si="363"/>
        <v>0.3500353589645675</v>
      </c>
      <c r="K126" s="35">
        <f>VLOOKUP($B126,REPORTE!$B$3:$AS$200,8,FALSE)/1000000</f>
        <v>153694.98432180998</v>
      </c>
      <c r="L126" s="36">
        <f t="shared" si="364"/>
        <v>0.85047487477174</v>
      </c>
      <c r="M126" s="60">
        <f t="shared" ref="M126:M130" si="373">L126/J126</f>
        <v>2.429682753443859</v>
      </c>
      <c r="N126" s="35">
        <f t="shared" ref="N126:N128" si="374">H126-K126</f>
        <v>27021.682191190019</v>
      </c>
      <c r="O126" s="35">
        <f t="shared" si="365"/>
        <v>29278.815564585824</v>
      </c>
      <c r="P126" s="36">
        <f t="shared" ref="P126:P130" si="375">$P$6</f>
        <v>0.1620150267793902</v>
      </c>
      <c r="Q126" s="35">
        <f>VLOOKUP($B126,REPORTE!$B$3:$AS$200,10,FALSE)/1000000</f>
        <v>90635.598355330003</v>
      </c>
      <c r="R126" s="36">
        <f>IF(H126=0,"",IF(H126="","",Q126/$H126))</f>
        <v>0.50153425306132493</v>
      </c>
      <c r="S126" s="60">
        <f t="shared" si="366"/>
        <v>3.0956033093414561</v>
      </c>
      <c r="T126" s="35">
        <f t="shared" si="367"/>
        <v>28011.083309515001</v>
      </c>
      <c r="U126" s="40">
        <f t="shared" si="368"/>
        <v>0.155</v>
      </c>
      <c r="V126" s="35">
        <f>VLOOKUP($B126,REPORTE!$B$3:$AS$200,11,FALSE)/1000000</f>
        <v>90600.410823330007</v>
      </c>
      <c r="W126" s="36">
        <f>IF(H126=0,"",IF(H126="","",V126/$H126))</f>
        <v>0.50133954201071207</v>
      </c>
      <c r="X126" s="145">
        <f t="shared" ref="X126:X130" si="376">W126/U126</f>
        <v>3.2344486581336263</v>
      </c>
      <c r="Z126" s="35">
        <f>VLOOKUP($B126,REPORTE!$B$3:$AS$200,8,FALSE)/1000000</f>
        <v>153694.98432180998</v>
      </c>
      <c r="AA126" s="36">
        <f>IF(F126=0,"",IF(F126="","",Z126/$F126))</f>
        <v>0.85047487477174</v>
      </c>
      <c r="AB126" s="60">
        <f t="shared" si="369"/>
        <v>2.429682753443859</v>
      </c>
      <c r="AC126" s="35">
        <f t="shared" si="370"/>
        <v>27021.682191190019</v>
      </c>
      <c r="AD126" s="35">
        <f>VLOOKUP($B126,REPORTE!$B$3:$AS$200,10,FALSE)/1000000</f>
        <v>90635.598355330003</v>
      </c>
      <c r="AE126" s="36">
        <f>IF(F126=0,"",IF(F126="","",AD126/$F126))</f>
        <v>0.50153425306132493</v>
      </c>
      <c r="AF126" s="127">
        <f t="shared" si="371"/>
        <v>3.0956033093414561</v>
      </c>
    </row>
    <row r="127" spans="1:32" s="41" customFormat="1">
      <c r="A127" s="38" t="s">
        <v>278</v>
      </c>
      <c r="B127" s="34" t="s">
        <v>363</v>
      </c>
      <c r="C127" s="35">
        <f>VLOOKUP(B127,REPORTE!$B$3:$AS$200,2,FALSE)/1000000</f>
        <v>60909.8</v>
      </c>
      <c r="D127" s="35">
        <f>VLOOKUP(B127,REPORTE!$B$3:$AS$200,3,FALSE)/1000000</f>
        <v>0</v>
      </c>
      <c r="E127" s="35">
        <f>VLOOKUP(B127,REPORTE!$B$3:$AS$200,4,FALSE)/1000000</f>
        <v>0</v>
      </c>
      <c r="F127" s="35">
        <f>VLOOKUP(B127,REPORTE!$B$3:$AS$200,5,FALSE)/1000000</f>
        <v>60909.8</v>
      </c>
      <c r="G127" s="35">
        <f>(VLOOKUP(B127,REPORTE!$B$3:$AS$200,6,FALSE)/1000000)</f>
        <v>0</v>
      </c>
      <c r="H127" s="35">
        <f t="shared" si="372"/>
        <v>60909.8</v>
      </c>
      <c r="I127" s="35">
        <f t="shared" si="362"/>
        <v>21320.583707460013</v>
      </c>
      <c r="J127" s="36">
        <f t="shared" si="363"/>
        <v>0.3500353589645675</v>
      </c>
      <c r="K127" s="35">
        <f>VLOOKUP($B127,REPORTE!$B$3:$AS$200,8,FALSE)/1000000</f>
        <v>6601.8623182499996</v>
      </c>
      <c r="L127" s="36">
        <f t="shared" si="364"/>
        <v>0.10838752250458875</v>
      </c>
      <c r="M127" s="60">
        <f t="shared" si="373"/>
        <v>0.30964735341368849</v>
      </c>
      <c r="N127" s="35">
        <f t="shared" si="374"/>
        <v>54307.937681750002</v>
      </c>
      <c r="O127" s="35">
        <f t="shared" si="365"/>
        <v>9868.3028781273024</v>
      </c>
      <c r="P127" s="36">
        <f t="shared" si="375"/>
        <v>0.1620150267793902</v>
      </c>
      <c r="Q127" s="35">
        <f>VLOOKUP($B127,REPORTE!$B$3:$AS$200,10,FALSE)/1000000</f>
        <v>361.10190981</v>
      </c>
      <c r="R127" s="36">
        <f>IF(H127=0,"",IF(H127="","",Q127/$H127))</f>
        <v>5.928469799769495E-3</v>
      </c>
      <c r="S127" s="60">
        <f t="shared" si="366"/>
        <v>3.6592098385059495E-2</v>
      </c>
      <c r="T127" s="35">
        <f t="shared" si="367"/>
        <v>9441.0190000000002</v>
      </c>
      <c r="U127" s="40">
        <f t="shared" si="368"/>
        <v>0.155</v>
      </c>
      <c r="V127" s="35">
        <f>VLOOKUP($B127,REPORTE!$B$3:$AS$200,11,FALSE)/1000000</f>
        <v>361.10190981</v>
      </c>
      <c r="W127" s="36">
        <f>IF(H127=0,"",IF(H127="","",V127/$H127))</f>
        <v>5.928469799769495E-3</v>
      </c>
      <c r="X127" s="145">
        <f t="shared" si="376"/>
        <v>3.8248192256577385E-2</v>
      </c>
      <c r="Z127" s="35">
        <f>VLOOKUP($B127,REPORTE!$B$3:$AS$200,8,FALSE)/1000000</f>
        <v>6601.8623182499996</v>
      </c>
      <c r="AA127" s="36">
        <f>IF(F127=0,"",IF(F127="","",Z127/$F127))</f>
        <v>0.10838752250458875</v>
      </c>
      <c r="AB127" s="60">
        <f t="shared" si="369"/>
        <v>0.30964735341368849</v>
      </c>
      <c r="AC127" s="35">
        <f t="shared" si="370"/>
        <v>54307.937681750002</v>
      </c>
      <c r="AD127" s="35">
        <f>VLOOKUP($B127,REPORTE!$B$3:$AS$200,10,FALSE)/1000000</f>
        <v>361.10190981</v>
      </c>
      <c r="AE127" s="36">
        <f>IF(F127=0,"",IF(F127="","",AD127/$F127))</f>
        <v>5.928469799769495E-3</v>
      </c>
      <c r="AF127" s="127">
        <f t="shared" si="371"/>
        <v>3.6592098385059495E-2</v>
      </c>
    </row>
    <row r="128" spans="1:32" s="41" customFormat="1" ht="33.75">
      <c r="A128" s="134" t="s">
        <v>383</v>
      </c>
      <c r="B128" s="34" t="s">
        <v>382</v>
      </c>
      <c r="C128" s="35">
        <f>VLOOKUP(B128,REPORTE!$B$3:$AS$200,2,FALSE)/1000000</f>
        <v>1519.3</v>
      </c>
      <c r="D128" s="35">
        <f>VLOOKUP(B128,REPORTE!$B$3:$AS$200,3,FALSE)/1000000</f>
        <v>0</v>
      </c>
      <c r="E128" s="35">
        <f>VLOOKUP(B128,REPORTE!$B$3:$AS$200,4,FALSE)/1000000</f>
        <v>0</v>
      </c>
      <c r="F128" s="35">
        <f>VLOOKUP(B128,REPORTE!$B$3:$AS$200,5,FALSE)/1000000</f>
        <v>1519.3</v>
      </c>
      <c r="G128" s="35">
        <f>(VLOOKUP(B128,REPORTE!$B$3:$AS$200,6,FALSE)/1000000)</f>
        <v>0</v>
      </c>
      <c r="H128" s="35">
        <f t="shared" si="372"/>
        <v>1519.3</v>
      </c>
      <c r="I128" s="35">
        <f t="shared" si="362"/>
        <v>531.80872087486739</v>
      </c>
      <c r="J128" s="36">
        <f t="shared" si="363"/>
        <v>0.3500353589645675</v>
      </c>
      <c r="K128" s="35">
        <f>VLOOKUP($B128,REPORTE!$B$3:$AS$200,8,FALSE)/1000000</f>
        <v>0</v>
      </c>
      <c r="L128" s="36">
        <f t="shared" si="364"/>
        <v>0</v>
      </c>
      <c r="M128" s="60">
        <f t="shared" ref="M128" si="377">L128/J128</f>
        <v>0</v>
      </c>
      <c r="N128" s="35">
        <f t="shared" si="374"/>
        <v>1519.3</v>
      </c>
      <c r="O128" s="35">
        <f t="shared" si="365"/>
        <v>246.14943018592751</v>
      </c>
      <c r="P128" s="36">
        <f t="shared" si="375"/>
        <v>0.1620150267793902</v>
      </c>
      <c r="Q128" s="35">
        <f>VLOOKUP($B128,REPORTE!$B$3:$AS$200,10,FALSE)/1000000</f>
        <v>0</v>
      </c>
      <c r="R128" s="36">
        <f>IF(H128=0,"",IF(H128="","",Q128/$H128))</f>
        <v>0</v>
      </c>
      <c r="S128" s="60">
        <f t="shared" si="366"/>
        <v>0</v>
      </c>
      <c r="T128" s="35">
        <f t="shared" si="367"/>
        <v>235.4915</v>
      </c>
      <c r="U128" s="40">
        <f t="shared" si="368"/>
        <v>0.155</v>
      </c>
      <c r="V128" s="35">
        <f>VLOOKUP($B128,REPORTE!$B$3:$AS$200,11,FALSE)/1000000</f>
        <v>0</v>
      </c>
      <c r="W128" s="36">
        <f>IF(H128=0,"",IF(H128="","",V128/$H128))</f>
        <v>0</v>
      </c>
      <c r="X128" s="145">
        <f t="shared" si="376"/>
        <v>0</v>
      </c>
      <c r="Z128" s="35">
        <f>VLOOKUP($B128,REPORTE!$B$3:$AS$200,8,FALSE)/1000000</f>
        <v>0</v>
      </c>
      <c r="AA128" s="36">
        <f>IF(F128=0,"",IF(F128="","",Z128/$F128))</f>
        <v>0</v>
      </c>
      <c r="AB128" s="60">
        <f t="shared" si="369"/>
        <v>0</v>
      </c>
      <c r="AC128" s="35">
        <f t="shared" si="370"/>
        <v>1519.3</v>
      </c>
      <c r="AD128" s="35">
        <f>VLOOKUP($B128,REPORTE!$B$3:$AS$200,10,FALSE)/1000000</f>
        <v>0</v>
      </c>
      <c r="AE128" s="36">
        <f>IF(F128=0,"",IF(F128="","",AD128/$F128))</f>
        <v>0</v>
      </c>
      <c r="AF128" s="127">
        <f t="shared" si="371"/>
        <v>0</v>
      </c>
    </row>
    <row r="129" spans="1:34" s="41" customFormat="1" ht="33.75">
      <c r="A129" s="134" t="s">
        <v>370</v>
      </c>
      <c r="B129" s="34" t="s">
        <v>231</v>
      </c>
      <c r="C129" s="35">
        <f>VLOOKUP(B129,REPORTE!$B$3:$AS$200,2,FALSE)/1000000</f>
        <v>369679.86293800001</v>
      </c>
      <c r="D129" s="35">
        <f>VLOOKUP(B129,REPORTE!$B$3:$AS$200,3,FALSE)/1000000</f>
        <v>0</v>
      </c>
      <c r="E129" s="35">
        <f>VLOOKUP(B129,REPORTE!$B$3:$AS$200,4,FALSE)/1000000</f>
        <v>0</v>
      </c>
      <c r="F129" s="35">
        <f>VLOOKUP(B129,REPORTE!$B$3:$AS$200,5,FALSE)/1000000</f>
        <v>369679.86293800001</v>
      </c>
      <c r="G129" s="35">
        <f>(VLOOKUP(B129,REPORTE!$B$3:$AS$200,6,FALSE)/1000000)</f>
        <v>369679.86293800001</v>
      </c>
      <c r="H129" s="35">
        <f t="shared" si="372"/>
        <v>0</v>
      </c>
      <c r="I129" s="35">
        <f t="shared" si="362"/>
        <v>0</v>
      </c>
      <c r="J129" s="36">
        <f t="shared" si="363"/>
        <v>0.3500353589645675</v>
      </c>
      <c r="K129" s="35">
        <f>VLOOKUP($B129,REPORTE!$B$3:$AS$200,8,FALSE)/1000000</f>
        <v>0</v>
      </c>
      <c r="L129" s="36" t="str">
        <f t="shared" si="364"/>
        <v/>
      </c>
      <c r="M129" s="60" t="e">
        <f t="shared" si="373"/>
        <v>#VALUE!</v>
      </c>
      <c r="N129" s="35">
        <f>H129-K129</f>
        <v>0</v>
      </c>
      <c r="O129" s="35">
        <f t="shared" si="365"/>
        <v>0</v>
      </c>
      <c r="P129" s="36">
        <f t="shared" si="375"/>
        <v>0.1620150267793902</v>
      </c>
      <c r="Q129" s="35">
        <f>VLOOKUP($B129,REPORTE!$B$3:$AS$200,10,FALSE)/1000000</f>
        <v>0</v>
      </c>
      <c r="R129" s="36" t="str">
        <f>IF(H129=0,"",IF(H129="","",Q129/$H129))</f>
        <v/>
      </c>
      <c r="S129" s="60" t="e">
        <f t="shared" si="366"/>
        <v>#VALUE!</v>
      </c>
      <c r="T129" s="35">
        <f t="shared" si="367"/>
        <v>0</v>
      </c>
      <c r="U129" s="40">
        <f t="shared" si="368"/>
        <v>0.155</v>
      </c>
      <c r="V129" s="35">
        <f>VLOOKUP($B129,REPORTE!$B$3:$AS$200,11,FALSE)/1000000</f>
        <v>0</v>
      </c>
      <c r="W129" s="36" t="str">
        <f>IF(H129=0,"",IF(H129="","",V129/$H129))</f>
        <v/>
      </c>
      <c r="X129" s="145" t="e">
        <f t="shared" si="376"/>
        <v>#VALUE!</v>
      </c>
      <c r="Z129" s="35">
        <f>VLOOKUP($B129,REPORTE!$B$3:$AS$200,8,FALSE)/1000000</f>
        <v>0</v>
      </c>
      <c r="AA129" s="36">
        <f>IF(F129=0,"",IF(F129="","",Z129/$F129))</f>
        <v>0</v>
      </c>
      <c r="AB129" s="60">
        <f t="shared" si="369"/>
        <v>0</v>
      </c>
      <c r="AC129" s="35">
        <f t="shared" si="370"/>
        <v>369679.86293800001</v>
      </c>
      <c r="AD129" s="35">
        <f>VLOOKUP($B129,REPORTE!$B$3:$AS$200,10,FALSE)/1000000</f>
        <v>0</v>
      </c>
      <c r="AE129" s="36">
        <f>IF(F129=0,"",IF(F129="","",AD129/$F129))</f>
        <v>0</v>
      </c>
      <c r="AF129" s="127">
        <f t="shared" si="371"/>
        <v>0</v>
      </c>
    </row>
    <row r="130" spans="1:34">
      <c r="A130" s="290" t="s">
        <v>245</v>
      </c>
      <c r="B130" s="291"/>
      <c r="C130" s="260">
        <f t="shared" ref="C130:H130" si="378">SUM(C125:C129)</f>
        <v>614717.62945100002</v>
      </c>
      <c r="D130" s="260">
        <f t="shared" si="378"/>
        <v>0</v>
      </c>
      <c r="E130" s="260">
        <f t="shared" si="378"/>
        <v>0</v>
      </c>
      <c r="F130" s="260">
        <f t="shared" si="378"/>
        <v>614717.62945100002</v>
      </c>
      <c r="G130" s="260">
        <f t="shared" si="378"/>
        <v>369679.86293800001</v>
      </c>
      <c r="H130" s="260">
        <f t="shared" si="378"/>
        <v>245037.76651300001</v>
      </c>
      <c r="I130" s="260">
        <f t="shared" si="362"/>
        <v>85771.882561253835</v>
      </c>
      <c r="J130" s="261">
        <f t="shared" si="363"/>
        <v>0.3500353589645675</v>
      </c>
      <c r="K130" s="260">
        <f>SUM(K125:K129)</f>
        <v>160777.85572405998</v>
      </c>
      <c r="L130" s="261">
        <f t="shared" ref="L130" si="379">K130/$H130</f>
        <v>0.65613500323645091</v>
      </c>
      <c r="M130" s="262">
        <f t="shared" si="373"/>
        <v>1.8744820671184492</v>
      </c>
      <c r="N130" s="260">
        <f>SUM(N125:N128)</f>
        <v>84259.910788940018</v>
      </c>
      <c r="O130" s="260">
        <f>SUM(O125:O128)</f>
        <v>40055.534772060018</v>
      </c>
      <c r="P130" s="261">
        <f t="shared" si="375"/>
        <v>0.1620150267793902</v>
      </c>
      <c r="Q130" s="260">
        <f>SUM(Q125:Q129)</f>
        <v>91477.709349140001</v>
      </c>
      <c r="R130" s="261">
        <f t="shared" ref="R130" si="380">Q130/$H130</f>
        <v>0.37332085845749341</v>
      </c>
      <c r="S130" s="262">
        <f t="shared" si="366"/>
        <v>2.3042360074774448</v>
      </c>
      <c r="T130" s="260">
        <f>SUM(T125:T128)</f>
        <v>37980.853809514992</v>
      </c>
      <c r="U130" s="263">
        <f t="shared" si="368"/>
        <v>0.155</v>
      </c>
      <c r="V130" s="260">
        <f>SUM(V125:V129)</f>
        <v>91442.521817140005</v>
      </c>
      <c r="W130" s="261">
        <f t="shared" ref="W130" si="381">V130/$H130</f>
        <v>0.37317725801377111</v>
      </c>
      <c r="X130" s="264">
        <f t="shared" si="376"/>
        <v>2.4075952129920717</v>
      </c>
      <c r="Z130" s="260">
        <f>SUM(Z125:Z129)</f>
        <v>160777.85572405998</v>
      </c>
      <c r="AA130" s="261">
        <f>Z130/$F130</f>
        <v>0.26154749436363089</v>
      </c>
      <c r="AB130" s="262">
        <f t="shared" si="369"/>
        <v>0.74720306867657382</v>
      </c>
      <c r="AC130" s="260">
        <f>SUM(AC125:AC129)</f>
        <v>453939.77372694004</v>
      </c>
      <c r="AD130" s="260">
        <f>SUM(AD125:AD129)</f>
        <v>91477.709349140001</v>
      </c>
      <c r="AE130" s="261">
        <f>AD130/$F130</f>
        <v>0.14881256851351099</v>
      </c>
      <c r="AF130" s="264">
        <f t="shared" si="371"/>
        <v>0.91851090279510617</v>
      </c>
    </row>
    <row r="131" spans="1:34" ht="9.9499999999999993" customHeight="1">
      <c r="A131" s="135"/>
      <c r="X131" s="146"/>
      <c r="AF131" s="133"/>
    </row>
    <row r="132" spans="1:34" ht="26.25" customHeight="1">
      <c r="A132" s="292" t="s">
        <v>225</v>
      </c>
      <c r="B132" s="293"/>
      <c r="C132" s="293"/>
      <c r="D132" s="293"/>
      <c r="E132" s="293"/>
      <c r="F132" s="293"/>
      <c r="G132" s="293"/>
      <c r="H132" s="293"/>
      <c r="I132" s="294" t="s">
        <v>2</v>
      </c>
      <c r="J132" s="295"/>
      <c r="K132" s="295"/>
      <c r="L132" s="295"/>
      <c r="M132" s="295"/>
      <c r="N132" s="296" t="s">
        <v>367</v>
      </c>
      <c r="O132" s="298" t="s">
        <v>3</v>
      </c>
      <c r="P132" s="299"/>
      <c r="Q132" s="299"/>
      <c r="R132" s="299"/>
      <c r="S132" s="300"/>
      <c r="T132" s="301" t="s">
        <v>113</v>
      </c>
      <c r="U132" s="301"/>
      <c r="V132" s="301"/>
      <c r="W132" s="301"/>
      <c r="X132" s="302"/>
      <c r="Z132" s="299" t="s">
        <v>2</v>
      </c>
      <c r="AA132" s="299"/>
      <c r="AB132" s="300"/>
      <c r="AC132" s="296" t="s">
        <v>367</v>
      </c>
      <c r="AD132" s="299" t="s">
        <v>3</v>
      </c>
      <c r="AE132" s="299"/>
      <c r="AF132" s="308"/>
    </row>
    <row r="133" spans="1:34" ht="33" customHeight="1">
      <c r="A133" s="256" t="s">
        <v>0</v>
      </c>
      <c r="B133" s="257" t="s">
        <v>243</v>
      </c>
      <c r="C133" s="255" t="s">
        <v>361</v>
      </c>
      <c r="D133" s="257" t="s">
        <v>355</v>
      </c>
      <c r="E133" s="257" t="s">
        <v>356</v>
      </c>
      <c r="F133" s="255" t="s">
        <v>1</v>
      </c>
      <c r="G133" s="255" t="s">
        <v>362</v>
      </c>
      <c r="H133" s="255" t="s">
        <v>358</v>
      </c>
      <c r="I133" s="255" t="s">
        <v>257</v>
      </c>
      <c r="J133" s="266" t="s">
        <v>4</v>
      </c>
      <c r="K133" s="255" t="s">
        <v>5</v>
      </c>
      <c r="L133" s="303" t="s">
        <v>4</v>
      </c>
      <c r="M133" s="304"/>
      <c r="N133" s="297"/>
      <c r="O133" s="255" t="str">
        <f>I133</f>
        <v>Meta</v>
      </c>
      <c r="P133" s="266" t="s">
        <v>4</v>
      </c>
      <c r="Q133" s="255" t="s">
        <v>5</v>
      </c>
      <c r="R133" s="303" t="s">
        <v>4</v>
      </c>
      <c r="S133" s="304"/>
      <c r="T133" s="255" t="str">
        <f>O133</f>
        <v>Meta</v>
      </c>
      <c r="U133" s="255" t="s">
        <v>4</v>
      </c>
      <c r="V133" s="255" t="s">
        <v>5</v>
      </c>
      <c r="W133" s="303" t="s">
        <v>4</v>
      </c>
      <c r="X133" s="305"/>
      <c r="Z133" s="255" t="s">
        <v>5</v>
      </c>
      <c r="AA133" s="303" t="s">
        <v>4</v>
      </c>
      <c r="AB133" s="304" t="s">
        <v>371</v>
      </c>
      <c r="AC133" s="297"/>
      <c r="AD133" s="255" t="s">
        <v>5</v>
      </c>
      <c r="AE133" s="303" t="s">
        <v>4</v>
      </c>
      <c r="AF133" s="309"/>
    </row>
    <row r="134" spans="1:34" s="41" customFormat="1" ht="26.25" customHeight="1">
      <c r="A134" s="38" t="s">
        <v>6</v>
      </c>
      <c r="B134" s="34" t="s">
        <v>6</v>
      </c>
      <c r="C134" s="35">
        <f>VLOOKUP(B134,REPORTE!$B$3:$AS$200,26,FALSE)/1000000</f>
        <v>1892</v>
      </c>
      <c r="D134" s="35">
        <f>VLOOKUP(B134,REPORTE!$B$3:$AS$200,27,FALSE)/1000000</f>
        <v>0</v>
      </c>
      <c r="E134" s="35">
        <f>VLOOKUP(B134,REPORTE!$B$3:$AS$200,28,FALSE)/1000000</f>
        <v>0</v>
      </c>
      <c r="F134" s="35">
        <f>VLOOKUP(B134,REPORTE!$B$3:$AS$200,29,FALSE)/1000000</f>
        <v>1892</v>
      </c>
      <c r="G134" s="35">
        <f>(VLOOKUP(B134,REPORTE!$B$3:$AS$200,30,FALSE)/1000000)</f>
        <v>0</v>
      </c>
      <c r="H134" s="35">
        <f t="shared" ref="H134:H135" si="382">F134-G134</f>
        <v>1892</v>
      </c>
      <c r="I134" s="35">
        <f>J134*$H134</f>
        <v>662.26689916096166</v>
      </c>
      <c r="J134" s="36">
        <f t="shared" ref="J134:J135" si="383">$J$6</f>
        <v>0.3500353589645675</v>
      </c>
      <c r="K134" s="35">
        <f>VLOOKUP($B134,REPORTE!$B$3:$AS$200,32,FALSE)/1000000</f>
        <v>481.00908399999997</v>
      </c>
      <c r="L134" s="36">
        <f t="shared" ref="L134:L135" si="384">IF(H134=0,"",IF(H134="","",K134/$H134))</f>
        <v>0.25423313107822409</v>
      </c>
      <c r="M134" s="60">
        <f t="shared" ref="M134:M135" si="385">L134/J134</f>
        <v>0.72630699889938544</v>
      </c>
      <c r="N134" s="35">
        <f t="shared" ref="N134:N135" si="386">H134-K134</f>
        <v>1410.990916</v>
      </c>
      <c r="O134" s="35">
        <f>P134*$H134</f>
        <v>306.53243066660627</v>
      </c>
      <c r="P134" s="36">
        <f t="shared" ref="P134:P135" si="387">$P$6</f>
        <v>0.1620150267793902</v>
      </c>
      <c r="Q134" s="35">
        <f>VLOOKUP($B134,REPORTE!$B$3:$AS$200,34,FALSE)/1000000</f>
        <v>481.00908399999997</v>
      </c>
      <c r="R134" s="36">
        <f>IF(H134=0,"",IF(H134="","",Q134/$H134))</f>
        <v>0.25423313107822409</v>
      </c>
      <c r="S134" s="60">
        <f>R134/P134</f>
        <v>1.5691947600910121</v>
      </c>
      <c r="T134" s="35">
        <f>U134*$H134</f>
        <v>293.26</v>
      </c>
      <c r="U134" s="40">
        <f t="shared" ref="U134:U136" si="388">$U$6</f>
        <v>0.155</v>
      </c>
      <c r="V134" s="35">
        <f>VLOOKUP($B134,REPORTE!$B$3:$AS$200,35,FALSE)/1000000</f>
        <v>481.00908399999997</v>
      </c>
      <c r="W134" s="36">
        <f>IF(H134=0,"",IF(H134="","",V134/$H134))</f>
        <v>0.25423313107822409</v>
      </c>
      <c r="X134" s="145">
        <f t="shared" ref="X134:X136" si="389">W134/U134</f>
        <v>1.6402137488917683</v>
      </c>
      <c r="Z134" s="35">
        <f>VLOOKUP($B134,REPORTE!$B$3:$AS$200,32,FALSE)/1000000</f>
        <v>481.00908399999997</v>
      </c>
      <c r="AA134" s="36">
        <f>IF(F134=0,"",IF(F134="","",Z134/$F134))</f>
        <v>0.25423313107822409</v>
      </c>
      <c r="AB134" s="60">
        <f>AA134/$J134</f>
        <v>0.72630699889938544</v>
      </c>
      <c r="AC134" s="35">
        <f t="shared" ref="AC134:AC135" si="390">F134-Z134</f>
        <v>1410.990916</v>
      </c>
      <c r="AD134" s="35">
        <f>VLOOKUP($B134,REPORTE!$B$3:$AS$200,34,FALSE)/1000000</f>
        <v>481.00908399999997</v>
      </c>
      <c r="AE134" s="36">
        <f>IF(F134=0,"",IF(F134="","",AD134/$F134))</f>
        <v>0.25423313107822409</v>
      </c>
      <c r="AF134" s="127">
        <f>AE134/P134</f>
        <v>1.5691947600910121</v>
      </c>
    </row>
    <row r="135" spans="1:34" s="41" customFormat="1" ht="26.25" customHeight="1">
      <c r="A135" s="38" t="s">
        <v>7</v>
      </c>
      <c r="B135" s="34" t="s">
        <v>7</v>
      </c>
      <c r="C135" s="35">
        <f>VLOOKUP(B135,REPORTE!$B$3:$AS$200,26,FALSE)/1000000</f>
        <v>80619.565000000002</v>
      </c>
      <c r="D135" s="35">
        <f>VLOOKUP(B135,REPORTE!$B$3:$AS$200,27,FALSE)/1000000</f>
        <v>0</v>
      </c>
      <c r="E135" s="35">
        <f>VLOOKUP(B135,REPORTE!$B$3:$AS$200,28,FALSE)/1000000</f>
        <v>0</v>
      </c>
      <c r="F135" s="35">
        <f>VLOOKUP(B135,REPORTE!$B$3:$AS$200,29,FALSE)/1000000</f>
        <v>80619.565000000002</v>
      </c>
      <c r="G135" s="35">
        <f>(VLOOKUP(B135,REPORTE!$B$3:$AS$200,30,FALSE)/1000000)</f>
        <v>0</v>
      </c>
      <c r="H135" s="35">
        <f t="shared" si="382"/>
        <v>80619.565000000002</v>
      </c>
      <c r="I135" s="35">
        <f>J135*$H135</f>
        <v>28219.698374342282</v>
      </c>
      <c r="J135" s="36">
        <f t="shared" si="383"/>
        <v>0.3500353589645675</v>
      </c>
      <c r="K135" s="35">
        <f>VLOOKUP($B135,REPORTE!$B$3:$AS$200,32,FALSE)/1000000</f>
        <v>80619.565000000002</v>
      </c>
      <c r="L135" s="36">
        <f t="shared" si="384"/>
        <v>1</v>
      </c>
      <c r="M135" s="60">
        <f t="shared" si="385"/>
        <v>2.8568542416916958</v>
      </c>
      <c r="N135" s="35">
        <f t="shared" si="386"/>
        <v>0</v>
      </c>
      <c r="O135" s="35">
        <f>P135*$H135</f>
        <v>13061.580982417789</v>
      </c>
      <c r="P135" s="36">
        <f t="shared" si="387"/>
        <v>0.1620150267793902</v>
      </c>
      <c r="Q135" s="35">
        <f>VLOOKUP($B135,REPORTE!$B$3:$AS$200,34,FALSE)/1000000</f>
        <v>80619.565000000002</v>
      </c>
      <c r="R135" s="36">
        <f>IF(H135=0,"",IF(H135="","",Q135/$H135))</f>
        <v>1</v>
      </c>
      <c r="S135" s="60">
        <f>R135/P135</f>
        <v>6.1722669796651797</v>
      </c>
      <c r="T135" s="35">
        <f>U135*$H135</f>
        <v>12496.032575000001</v>
      </c>
      <c r="U135" s="40">
        <f t="shared" si="388"/>
        <v>0.155</v>
      </c>
      <c r="V135" s="35">
        <f>VLOOKUP($B135,REPORTE!$B$3:$AS$200,35,FALSE)/1000000</f>
        <v>80619.565000000002</v>
      </c>
      <c r="W135" s="36">
        <f>IF(H135=0,"",IF(H135="","",V135/$H135))</f>
        <v>1</v>
      </c>
      <c r="X135" s="145">
        <f t="shared" si="389"/>
        <v>6.4516129032258069</v>
      </c>
      <c r="Z135" s="35">
        <f>VLOOKUP($B135,REPORTE!$B$3:$AS$200,32,FALSE)/1000000</f>
        <v>80619.565000000002</v>
      </c>
      <c r="AA135" s="36">
        <f>IF(F135=0,"",IF(F135="","",Z135/$F135))</f>
        <v>1</v>
      </c>
      <c r="AB135" s="60">
        <f>AA135/$J135</f>
        <v>2.8568542416916958</v>
      </c>
      <c r="AC135" s="35">
        <f t="shared" si="390"/>
        <v>0</v>
      </c>
      <c r="AD135" s="35">
        <f>VLOOKUP($B135,REPORTE!$B$3:$AS$200,34,FALSE)/1000000</f>
        <v>80619.565000000002</v>
      </c>
      <c r="AE135" s="36">
        <f>IF(F135=0,"",IF(F135="","",AD135/$F135))</f>
        <v>1</v>
      </c>
      <c r="AF135" s="127">
        <f>AE135/P135</f>
        <v>6.1722669796651797</v>
      </c>
    </row>
    <row r="136" spans="1:34">
      <c r="A136" s="290" t="s">
        <v>245</v>
      </c>
      <c r="B136" s="291"/>
      <c r="C136" s="260">
        <f t="shared" ref="C136:H136" si="391">SUM(C134:C135)</f>
        <v>82511.565000000002</v>
      </c>
      <c r="D136" s="260">
        <f t="shared" si="391"/>
        <v>0</v>
      </c>
      <c r="E136" s="260">
        <f t="shared" si="391"/>
        <v>0</v>
      </c>
      <c r="F136" s="260">
        <f>SUM(F134:F135)</f>
        <v>82511.565000000002</v>
      </c>
      <c r="G136" s="260">
        <f t="shared" si="391"/>
        <v>0</v>
      </c>
      <c r="H136" s="260">
        <f t="shared" si="391"/>
        <v>82511.565000000002</v>
      </c>
      <c r="I136" s="260">
        <f>J136*$H136</f>
        <v>28881.965273503243</v>
      </c>
      <c r="J136" s="261">
        <f t="shared" ref="J136" si="392">$J$6</f>
        <v>0.3500353589645675</v>
      </c>
      <c r="K136" s="260">
        <f>SUM(K134:K135)</f>
        <v>81100.574084000007</v>
      </c>
      <c r="L136" s="261">
        <f>K136/$H136</f>
        <v>0.98289947698846825</v>
      </c>
      <c r="M136" s="262">
        <f t="shared" ref="M136" si="393">L136/J136</f>
        <v>2.8080005399910548</v>
      </c>
      <c r="N136" s="260">
        <f>SUM(N134:N135)</f>
        <v>1410.990916</v>
      </c>
      <c r="O136" s="260">
        <f>SUM(O134:O135)</f>
        <v>13368.113413084395</v>
      </c>
      <c r="P136" s="261">
        <f t="shared" ref="P136" si="394">$P$6</f>
        <v>0.1620150267793902</v>
      </c>
      <c r="Q136" s="260">
        <f>SUM(Q134:Q135)</f>
        <v>81100.574084000007</v>
      </c>
      <c r="R136" s="261">
        <f>Q136/$H136</f>
        <v>0.98289947698846825</v>
      </c>
      <c r="S136" s="262">
        <f>R136/P136</f>
        <v>6.0667179861460978</v>
      </c>
      <c r="T136" s="260">
        <f>SUM(T134:T135)</f>
        <v>12789.292575000001</v>
      </c>
      <c r="U136" s="263">
        <f t="shared" si="388"/>
        <v>0.155</v>
      </c>
      <c r="V136" s="260">
        <f>SUM(V134:V135)</f>
        <v>81100.574084000007</v>
      </c>
      <c r="W136" s="261">
        <f>V136/$H136</f>
        <v>0.98289947698846825</v>
      </c>
      <c r="X136" s="264">
        <f t="shared" si="389"/>
        <v>6.3412869483126988</v>
      </c>
      <c r="Z136" s="260">
        <f>SUM(Z134:Z135)</f>
        <v>81100.574084000007</v>
      </c>
      <c r="AA136" s="261">
        <f>Z136/$F136</f>
        <v>0.98289947698846825</v>
      </c>
      <c r="AB136" s="262">
        <f>AA136/$J136</f>
        <v>2.8080005399910548</v>
      </c>
      <c r="AC136" s="260">
        <f>SUM(AC134:AC135)</f>
        <v>1410.990916</v>
      </c>
      <c r="AD136" s="260">
        <f>SUM(AD134:AD135)</f>
        <v>81100.574084000007</v>
      </c>
      <c r="AE136" s="261">
        <f>AD136/$F136</f>
        <v>0.98289947698846825</v>
      </c>
      <c r="AF136" s="264">
        <f>AE136/P136</f>
        <v>6.0667179861460978</v>
      </c>
    </row>
    <row r="137" spans="1:34" ht="8.4499999999999993" customHeight="1">
      <c r="A137" s="135"/>
      <c r="X137" s="146"/>
      <c r="AF137" s="133"/>
    </row>
    <row r="138" spans="1:34" ht="26.25" customHeight="1">
      <c r="A138" s="292" t="s">
        <v>226</v>
      </c>
      <c r="B138" s="293"/>
      <c r="C138" s="293"/>
      <c r="D138" s="293"/>
      <c r="E138" s="293"/>
      <c r="F138" s="293"/>
      <c r="G138" s="293"/>
      <c r="H138" s="293"/>
      <c r="I138" s="294" t="s">
        <v>2</v>
      </c>
      <c r="J138" s="295"/>
      <c r="K138" s="295"/>
      <c r="L138" s="295"/>
      <c r="M138" s="295"/>
      <c r="N138" s="296" t="s">
        <v>367</v>
      </c>
      <c r="O138" s="298" t="s">
        <v>3</v>
      </c>
      <c r="P138" s="299"/>
      <c r="Q138" s="299"/>
      <c r="R138" s="299"/>
      <c r="S138" s="300"/>
      <c r="T138" s="301" t="s">
        <v>113</v>
      </c>
      <c r="U138" s="301"/>
      <c r="V138" s="301"/>
      <c r="W138" s="301"/>
      <c r="X138" s="302"/>
      <c r="Z138" s="299" t="s">
        <v>2</v>
      </c>
      <c r="AA138" s="299"/>
      <c r="AB138" s="300"/>
      <c r="AC138" s="296" t="s">
        <v>367</v>
      </c>
      <c r="AD138" s="299" t="s">
        <v>3</v>
      </c>
      <c r="AE138" s="299"/>
      <c r="AF138" s="308"/>
    </row>
    <row r="139" spans="1:34" ht="33" customHeight="1">
      <c r="A139" s="256" t="s">
        <v>0</v>
      </c>
      <c r="B139" s="257" t="s">
        <v>243</v>
      </c>
      <c r="C139" s="255" t="s">
        <v>361</v>
      </c>
      <c r="D139" s="257" t="s">
        <v>355</v>
      </c>
      <c r="E139" s="257" t="s">
        <v>356</v>
      </c>
      <c r="F139" s="255" t="s">
        <v>1</v>
      </c>
      <c r="G139" s="255" t="s">
        <v>362</v>
      </c>
      <c r="H139" s="255" t="s">
        <v>358</v>
      </c>
      <c r="I139" s="255" t="s">
        <v>257</v>
      </c>
      <c r="J139" s="266" t="s">
        <v>4</v>
      </c>
      <c r="K139" s="255" t="s">
        <v>5</v>
      </c>
      <c r="L139" s="303" t="s">
        <v>4</v>
      </c>
      <c r="M139" s="304"/>
      <c r="N139" s="297"/>
      <c r="O139" s="255" t="str">
        <f>I139</f>
        <v>Meta</v>
      </c>
      <c r="P139" s="266" t="s">
        <v>4</v>
      </c>
      <c r="Q139" s="255" t="s">
        <v>5</v>
      </c>
      <c r="R139" s="303" t="s">
        <v>4</v>
      </c>
      <c r="S139" s="304"/>
      <c r="T139" s="255" t="str">
        <f>O139</f>
        <v>Meta</v>
      </c>
      <c r="U139" s="255" t="s">
        <v>4</v>
      </c>
      <c r="V139" s="255" t="s">
        <v>5</v>
      </c>
      <c r="W139" s="303" t="s">
        <v>4</v>
      </c>
      <c r="X139" s="305"/>
      <c r="Z139" s="255" t="s">
        <v>5</v>
      </c>
      <c r="AA139" s="303" t="s">
        <v>4</v>
      </c>
      <c r="AB139" s="304"/>
      <c r="AC139" s="297"/>
      <c r="AD139" s="255" t="s">
        <v>5</v>
      </c>
      <c r="AE139" s="303" t="s">
        <v>4</v>
      </c>
      <c r="AF139" s="309"/>
    </row>
    <row r="140" spans="1:34" s="41" customFormat="1" ht="26.25" customHeight="1">
      <c r="A140" s="38" t="s">
        <v>7</v>
      </c>
      <c r="B140" s="34" t="s">
        <v>7</v>
      </c>
      <c r="C140" s="35">
        <f>VLOOKUP(B140,REPORTE!$B$3:$AS$200,14,FALSE)/1000000</f>
        <v>100097.101513</v>
      </c>
      <c r="D140" s="35">
        <f>VLOOKUP(B140,REPORTE!$B$3:$AS$200,15,FALSE)/1000000</f>
        <v>0</v>
      </c>
      <c r="E140" s="35">
        <f>VLOOKUP(B140,REPORTE!$B$3:$AS$200,16,FALSE)/1000000</f>
        <v>0</v>
      </c>
      <c r="F140" s="35">
        <f>VLOOKUP(B140,REPORTE!$B$3:$AS$200,17,FALSE)/1000000</f>
        <v>100097.101513</v>
      </c>
      <c r="G140" s="35">
        <f>(VLOOKUP(B140,REPORTE!$B$3:$AS$200,18,FALSE)/1000000)</f>
        <v>0</v>
      </c>
      <c r="H140" s="35">
        <f t="shared" ref="H140:H143" si="395">F140-G140</f>
        <v>100097.101513</v>
      </c>
      <c r="I140" s="35">
        <f t="shared" ref="I140:I144" si="396">J140*$H140</f>
        <v>35037.524859415709</v>
      </c>
      <c r="J140" s="36">
        <f t="shared" ref="J140:J142" si="397">$J$6</f>
        <v>0.3500353589645675</v>
      </c>
      <c r="K140" s="35">
        <f>VLOOKUP($B140,REPORTE!$B$3:$AS$200,20,FALSE)/1000000</f>
        <v>73075.419321809997</v>
      </c>
      <c r="L140" s="36">
        <f t="shared" ref="L140:L142" si="398">IF(H140=0,"",IF(H140="","",K140/$H140))</f>
        <v>0.7300453081782734</v>
      </c>
      <c r="M140" s="60">
        <f t="shared" ref="M140:M141" si="399">L140/J140</f>
        <v>2.0856330352962216</v>
      </c>
      <c r="N140" s="35">
        <f t="shared" ref="N140:N143" si="400">H140-K140</f>
        <v>27021.682191190004</v>
      </c>
      <c r="O140" s="35">
        <f>P140*$H140</f>
        <v>16217.234582168034</v>
      </c>
      <c r="P140" s="36">
        <f t="shared" ref="P140:P142" si="401">$P$6</f>
        <v>0.1620150267793902</v>
      </c>
      <c r="Q140" s="35">
        <f>VLOOKUP($B140,REPORTE!$B$3:$AS$200,22,FALSE)/1000000</f>
        <v>10016.033355330001</v>
      </c>
      <c r="R140" s="36">
        <f>IF(H140=0,"",IF(H140="","",Q140/$H140))</f>
        <v>0.10006317070059395</v>
      </c>
      <c r="S140" s="60">
        <f>R140/P140</f>
        <v>0.6176166043958764</v>
      </c>
      <c r="T140" s="39">
        <f>U140*$H140</f>
        <v>15515.050734515</v>
      </c>
      <c r="U140" s="40">
        <f t="shared" ref="U140:U144" si="402">$U$6</f>
        <v>0.155</v>
      </c>
      <c r="V140" s="35">
        <f>VLOOKUP($B140,REPORTE!$B$3:$AS$200,23,FALSE)/1000000</f>
        <v>9980.8458233300007</v>
      </c>
      <c r="W140" s="36">
        <f>IF(H140=0,"",IF(H140="","",V140/$H140))</f>
        <v>9.9711636725402578E-2</v>
      </c>
      <c r="X140" s="145">
        <f t="shared" ref="X140:X144" si="403">W140/U140</f>
        <v>0.64330088209937142</v>
      </c>
      <c r="Z140" s="35">
        <f>VLOOKUP($B140,REPORTE!$B$3:$AS$200,20,FALSE)/1000000</f>
        <v>73075.419321809997</v>
      </c>
      <c r="AA140" s="36">
        <f>IF(F140=0,"",IF(F140="","",Z140/$F140))</f>
        <v>0.7300453081782734</v>
      </c>
      <c r="AB140" s="60">
        <f t="shared" ref="AB140:AB144" si="404">AA140/$J140</f>
        <v>2.0856330352962216</v>
      </c>
      <c r="AC140" s="35">
        <f t="shared" ref="AC140:AC143" si="405">F140-Z140</f>
        <v>27021.682191190004</v>
      </c>
      <c r="AD140" s="35">
        <f>VLOOKUP($B140,REPORTE!$B$3:$AS$200,22,FALSE)/1000000</f>
        <v>10016.033355330001</v>
      </c>
      <c r="AE140" s="36">
        <f>IF(F140=0,"",IF(F140="","",AD140/$F140))</f>
        <v>0.10006317070059395</v>
      </c>
      <c r="AF140" s="127">
        <f>AE140/P140</f>
        <v>0.6176166043958764</v>
      </c>
    </row>
    <row r="141" spans="1:34" s="41" customFormat="1" ht="26.25" customHeight="1">
      <c r="A141" s="38" t="s">
        <v>278</v>
      </c>
      <c r="B141" s="34" t="s">
        <v>363</v>
      </c>
      <c r="C141" s="35">
        <f>VLOOKUP(B141,REPORTE!$B$3:$AS$200,14,FALSE)/1000000</f>
        <v>60909.8</v>
      </c>
      <c r="D141" s="35">
        <f>VLOOKUP(B141,REPORTE!$B$3:$AS$200,15,FALSE)/1000000</f>
        <v>0</v>
      </c>
      <c r="E141" s="35">
        <f>VLOOKUP(B141,REPORTE!$B$3:$AS$200,16,FALSE)/1000000</f>
        <v>0</v>
      </c>
      <c r="F141" s="35">
        <f>VLOOKUP(B141,REPORTE!$B$3:$AS$200,17,FALSE)/1000000</f>
        <v>60909.8</v>
      </c>
      <c r="G141" s="35">
        <f>(VLOOKUP(B141,REPORTE!$B$3:$AS$200,18,FALSE)/1000000)</f>
        <v>0</v>
      </c>
      <c r="H141" s="35">
        <f t="shared" si="395"/>
        <v>60909.8</v>
      </c>
      <c r="I141" s="35">
        <f t="shared" si="396"/>
        <v>21320.583707460013</v>
      </c>
      <c r="J141" s="36">
        <f t="shared" si="397"/>
        <v>0.3500353589645675</v>
      </c>
      <c r="K141" s="35">
        <f>VLOOKUP($B141,REPORTE!$B$3:$AS$200,20,FALSE)/1000000</f>
        <v>6601.8623182499996</v>
      </c>
      <c r="L141" s="36">
        <f t="shared" si="398"/>
        <v>0.10838752250458875</v>
      </c>
      <c r="M141" s="60">
        <f t="shared" si="399"/>
        <v>0.30964735341368849</v>
      </c>
      <c r="N141" s="35">
        <f t="shared" si="400"/>
        <v>54307.937681750002</v>
      </c>
      <c r="O141" s="35">
        <f>P141*$H141</f>
        <v>9868.3028781273024</v>
      </c>
      <c r="P141" s="36">
        <f t="shared" si="401"/>
        <v>0.1620150267793902</v>
      </c>
      <c r="Q141" s="35">
        <f>VLOOKUP($B141,REPORTE!$B$3:$AS$200,22,FALSE)/1000000</f>
        <v>361.10190981</v>
      </c>
      <c r="R141" s="36">
        <f>IF(H141=0,"",IF(H141="","",Q141/$H141))</f>
        <v>5.928469799769495E-3</v>
      </c>
      <c r="S141" s="60">
        <f>R141/P141</f>
        <v>3.6592098385059495E-2</v>
      </c>
      <c r="T141" s="39">
        <f>U141*$H141</f>
        <v>9441.0190000000002</v>
      </c>
      <c r="U141" s="40">
        <f t="shared" si="402"/>
        <v>0.155</v>
      </c>
      <c r="V141" s="35">
        <f>VLOOKUP($B141,REPORTE!$B$3:$AS$200,23,FALSE)/1000000</f>
        <v>361.10190981</v>
      </c>
      <c r="W141" s="36">
        <f>IF(H141=0,"",IF(H141="","",V141/$H141))</f>
        <v>5.928469799769495E-3</v>
      </c>
      <c r="X141" s="145">
        <f t="shared" si="403"/>
        <v>3.8248192256577385E-2</v>
      </c>
      <c r="Z141" s="35">
        <f>VLOOKUP($B141,REPORTE!$B$3:$AS$200,20,FALSE)/1000000</f>
        <v>6601.8623182499996</v>
      </c>
      <c r="AA141" s="36">
        <f>IF(F141=0,"",IF(F141="","",Z141/$F141))</f>
        <v>0.10838752250458875</v>
      </c>
      <c r="AB141" s="60">
        <f t="shared" si="404"/>
        <v>0.30964735341368849</v>
      </c>
      <c r="AC141" s="35">
        <f t="shared" si="405"/>
        <v>54307.937681750002</v>
      </c>
      <c r="AD141" s="35">
        <f>VLOOKUP($B141,REPORTE!$B$3:$AS$200,22,FALSE)/1000000</f>
        <v>361.10190981</v>
      </c>
      <c r="AE141" s="36">
        <f>IF(F141=0,"",IF(F141="","",AD141/$F141))</f>
        <v>5.928469799769495E-3</v>
      </c>
      <c r="AF141" s="127">
        <f>AE141/P141</f>
        <v>3.6592098385059495E-2</v>
      </c>
    </row>
    <row r="142" spans="1:34" s="41" customFormat="1" ht="33.75">
      <c r="A142" s="134" t="s">
        <v>369</v>
      </c>
      <c r="B142" s="34" t="s">
        <v>382</v>
      </c>
      <c r="C142" s="35">
        <f>VLOOKUP(B142,REPORTE!$B$3:$AS$200,14,FALSE)/1000000</f>
        <v>1519.3</v>
      </c>
      <c r="D142" s="35">
        <f>VLOOKUP(B142,REPORTE!$B$3:$AS$200,15,FALSE)/1000000</f>
        <v>0</v>
      </c>
      <c r="E142" s="35">
        <f>VLOOKUP(B142,REPORTE!$B$3:$AS$200,16,FALSE)/1000000</f>
        <v>0</v>
      </c>
      <c r="F142" s="35">
        <f>VLOOKUP(B142,REPORTE!$B$3:$AS$200,17,FALSE)/1000000</f>
        <v>1519.3</v>
      </c>
      <c r="G142" s="35">
        <f>(VLOOKUP(B142,REPORTE!$B$3:$AS$200,18,FALSE)/1000000)</f>
        <v>0</v>
      </c>
      <c r="H142" s="35">
        <f t="shared" si="395"/>
        <v>1519.3</v>
      </c>
      <c r="I142" s="35">
        <f t="shared" si="396"/>
        <v>531.80872087486739</v>
      </c>
      <c r="J142" s="36">
        <f t="shared" si="397"/>
        <v>0.3500353589645675</v>
      </c>
      <c r="K142" s="35">
        <f>VLOOKUP($B142,REPORTE!$B$3:$AS$200,20,FALSE)/1000000</f>
        <v>0</v>
      </c>
      <c r="L142" s="36">
        <f t="shared" si="398"/>
        <v>0</v>
      </c>
      <c r="M142" s="60">
        <f t="shared" ref="M142" si="406">L142/J142</f>
        <v>0</v>
      </c>
      <c r="N142" s="35">
        <f t="shared" si="400"/>
        <v>1519.3</v>
      </c>
      <c r="O142" s="35">
        <f>P142*$H142</f>
        <v>246.14943018592751</v>
      </c>
      <c r="P142" s="36">
        <f t="shared" si="401"/>
        <v>0.1620150267793902</v>
      </c>
      <c r="Q142" s="35">
        <f>VLOOKUP($B142,REPORTE!$B$3:$AS$200,22,FALSE)/1000000</f>
        <v>0</v>
      </c>
      <c r="R142" s="36">
        <f>IF(H142=0,"",IF(H142="","",Q142/$H142))</f>
        <v>0</v>
      </c>
      <c r="S142" s="60">
        <f>R142/P142</f>
        <v>0</v>
      </c>
      <c r="T142" s="39">
        <f>U142*$H142</f>
        <v>235.4915</v>
      </c>
      <c r="U142" s="40">
        <f t="shared" si="402"/>
        <v>0.155</v>
      </c>
      <c r="V142" s="35">
        <f>VLOOKUP($B142,REPORTE!$B$3:$AS$200,23,FALSE)/1000000</f>
        <v>0</v>
      </c>
      <c r="W142" s="36">
        <f>IF(H142=0,"",IF(H142="","",V142/$H142))</f>
        <v>0</v>
      </c>
      <c r="X142" s="145">
        <f t="shared" si="403"/>
        <v>0</v>
      </c>
      <c r="Z142" s="35">
        <f>VLOOKUP($B142,REPORTE!$B$3:$AS$200,20,FALSE)/1000000</f>
        <v>0</v>
      </c>
      <c r="AA142" s="36">
        <f>IF(F142=0,"",IF(F142="","",Z142/$F142))</f>
        <v>0</v>
      </c>
      <c r="AB142" s="60">
        <f t="shared" si="404"/>
        <v>0</v>
      </c>
      <c r="AC142" s="35">
        <f t="shared" si="405"/>
        <v>1519.3</v>
      </c>
      <c r="AD142" s="35">
        <f>VLOOKUP($B142,REPORTE!$B$3:$AS$200,22,FALSE)/1000000</f>
        <v>0</v>
      </c>
      <c r="AE142" s="36">
        <f>IF(F142=0,"",IF(F142="","",AD142/$F142))</f>
        <v>0</v>
      </c>
      <c r="AF142" s="127">
        <f>AE142/P142</f>
        <v>0</v>
      </c>
      <c r="AH142" s="42"/>
    </row>
    <row r="143" spans="1:34" s="41" customFormat="1" ht="33.75">
      <c r="A143" s="134" t="s">
        <v>370</v>
      </c>
      <c r="B143" s="34" t="s">
        <v>231</v>
      </c>
      <c r="C143" s="35">
        <f>VLOOKUP(B143,REPORTE!$B$3:$AS$200,14,FALSE)/1000000</f>
        <v>369679.86293800001</v>
      </c>
      <c r="D143" s="35">
        <f>VLOOKUP(B143,REPORTE!$B$3:$AS$200,15,FALSE)/1000000</f>
        <v>0</v>
      </c>
      <c r="E143" s="35">
        <f>VLOOKUP(B143,REPORTE!$B$3:$AS$200,16,FALSE)/1000000</f>
        <v>0</v>
      </c>
      <c r="F143" s="35">
        <f>VLOOKUP(B143,REPORTE!$B$3:$AS$200,17,FALSE)/1000000</f>
        <v>369679.86293800001</v>
      </c>
      <c r="G143" s="35">
        <f>(VLOOKUP(B143,REPORTE!$B$3:$AS$200,18,FALSE)/1000000)</f>
        <v>369679.86293800001</v>
      </c>
      <c r="H143" s="35">
        <f t="shared" si="395"/>
        <v>0</v>
      </c>
      <c r="I143" s="35">
        <f t="shared" si="396"/>
        <v>0</v>
      </c>
      <c r="J143" s="36">
        <f t="shared" ref="J143" si="407">$J$6</f>
        <v>0.3500353589645675</v>
      </c>
      <c r="K143" s="35">
        <f>VLOOKUP($B143,REPORTE!$B$3:$AS$200,20,FALSE)/1000000</f>
        <v>0</v>
      </c>
      <c r="L143" s="36" t="str">
        <f>IF(H143=0,"",IF(H143="","",K143/$H143))</f>
        <v/>
      </c>
      <c r="M143" s="60" t="e">
        <f t="shared" ref="M143" si="408">L143/J143</f>
        <v>#VALUE!</v>
      </c>
      <c r="N143" s="35">
        <f t="shared" si="400"/>
        <v>0</v>
      </c>
      <c r="O143" s="35">
        <f>P143*$H143</f>
        <v>0</v>
      </c>
      <c r="P143" s="36">
        <f t="shared" ref="P143" si="409">$P$6</f>
        <v>0.1620150267793902</v>
      </c>
      <c r="Q143" s="35">
        <f>VLOOKUP($B143,REPORTE!$B$3:$AS$200,22,FALSE)/1000000</f>
        <v>0</v>
      </c>
      <c r="R143" s="36" t="str">
        <f>IF(H143=0,"",IF(H143="","",Q143/$H143))</f>
        <v/>
      </c>
      <c r="S143" s="60" t="e">
        <f>R143/P143</f>
        <v>#VALUE!</v>
      </c>
      <c r="T143" s="39">
        <f>U143*$H143</f>
        <v>0</v>
      </c>
      <c r="U143" s="40">
        <f t="shared" si="402"/>
        <v>0.155</v>
      </c>
      <c r="V143" s="35">
        <f>VLOOKUP($B143,REPORTE!$B$3:$AS$200,23,FALSE)/1000000</f>
        <v>0</v>
      </c>
      <c r="W143" s="36" t="str">
        <f>IF(H143=0,"",IF(H143="","",V143/$H143))</f>
        <v/>
      </c>
      <c r="X143" s="145" t="e">
        <f t="shared" si="403"/>
        <v>#VALUE!</v>
      </c>
      <c r="Z143" s="35">
        <f>VLOOKUP($B143,REPORTE!$B$3:$AS$200,20,FALSE)/1000000</f>
        <v>0</v>
      </c>
      <c r="AA143" s="36">
        <f>IF(F143=0,"",IF(F143="","",Z143/$F143))</f>
        <v>0</v>
      </c>
      <c r="AB143" s="60">
        <f t="shared" si="404"/>
        <v>0</v>
      </c>
      <c r="AC143" s="35">
        <f t="shared" si="405"/>
        <v>369679.86293800001</v>
      </c>
      <c r="AD143" s="35">
        <f>VLOOKUP($B143,REPORTE!$B$3:$AS$200,22,FALSE)/1000000</f>
        <v>0</v>
      </c>
      <c r="AE143" s="36">
        <f>IF(F143=0,"",IF(F143="","",AD143/$F143))</f>
        <v>0</v>
      </c>
      <c r="AF143" s="127">
        <f>AE143/P143</f>
        <v>0</v>
      </c>
      <c r="AH143" s="42"/>
    </row>
    <row r="144" spans="1:34">
      <c r="A144" s="290" t="s">
        <v>245</v>
      </c>
      <c r="B144" s="291"/>
      <c r="C144" s="260">
        <f t="shared" ref="C144:H144" si="410">SUM(C140:C143)</f>
        <v>532206.06445099995</v>
      </c>
      <c r="D144" s="260">
        <f t="shared" si="410"/>
        <v>0</v>
      </c>
      <c r="E144" s="260">
        <f t="shared" si="410"/>
        <v>0</v>
      </c>
      <c r="F144" s="260">
        <f t="shared" si="410"/>
        <v>532206.06445099995</v>
      </c>
      <c r="G144" s="260">
        <f t="shared" si="410"/>
        <v>369679.86293800001</v>
      </c>
      <c r="H144" s="260">
        <f t="shared" si="410"/>
        <v>162526.20151300001</v>
      </c>
      <c r="I144" s="260">
        <f t="shared" si="396"/>
        <v>56889.917287750592</v>
      </c>
      <c r="J144" s="261">
        <f t="shared" ref="J144" si="411">$J$6</f>
        <v>0.3500353589645675</v>
      </c>
      <c r="K144" s="260">
        <f>SUM(K140:K143)</f>
        <v>79677.281640059999</v>
      </c>
      <c r="L144" s="261">
        <f t="shared" ref="L144" si="412">K144/$H144</f>
        <v>0.49024268639962548</v>
      </c>
      <c r="M144" s="262">
        <f t="shared" ref="M144" si="413">L144/J144</f>
        <v>1.4005518980991019</v>
      </c>
      <c r="N144" s="260">
        <f>SUM(N140:N142)</f>
        <v>82848.919872940009</v>
      </c>
      <c r="O144" s="260">
        <f>SUM(O140:O142)</f>
        <v>26331.686890481265</v>
      </c>
      <c r="P144" s="261">
        <f t="shared" ref="P144" si="414">$P$6</f>
        <v>0.1620150267793902</v>
      </c>
      <c r="Q144" s="260">
        <f>SUM(Q140:Q143)</f>
        <v>10377.135265140001</v>
      </c>
      <c r="R144" s="261">
        <f t="shared" ref="R144" si="415">Q144/$H144</f>
        <v>6.3848998921629041E-2</v>
      </c>
      <c r="S144" s="262">
        <f>R144/P144</f>
        <v>0.39409306772864861</v>
      </c>
      <c r="T144" s="260">
        <f>SUM(T140:T142)</f>
        <v>25191.561234515</v>
      </c>
      <c r="U144" s="263">
        <f t="shared" si="402"/>
        <v>0.155</v>
      </c>
      <c r="V144" s="260">
        <f>SUM(V140:V143)</f>
        <v>10341.947733140001</v>
      </c>
      <c r="W144" s="261">
        <f t="shared" ref="W144" si="416">V144/$H144</f>
        <v>6.3632495172249365E-2</v>
      </c>
      <c r="X144" s="264">
        <f t="shared" si="403"/>
        <v>0.41053222691773783</v>
      </c>
      <c r="Z144" s="260">
        <f>SUM(Z140:Z143)</f>
        <v>79677.281640059999</v>
      </c>
      <c r="AA144" s="261">
        <f>Z144/$F144</f>
        <v>0.14971133732241765</v>
      </c>
      <c r="AB144" s="262">
        <f t="shared" si="404"/>
        <v>0.42770346905888512</v>
      </c>
      <c r="AC144" s="260">
        <f>SUM(AC140:AC143)</f>
        <v>452528.78281094</v>
      </c>
      <c r="AD144" s="260">
        <f>SUM(AD140:AD143)</f>
        <v>10377.135265140001</v>
      </c>
      <c r="AE144" s="261">
        <f>AD144/$F144</f>
        <v>1.949834088389164E-2</v>
      </c>
      <c r="AF144" s="264">
        <f>AE144/P144</f>
        <v>0.12034896559589994</v>
      </c>
    </row>
    <row r="145" spans="1:32" ht="32.25" customHeight="1" thickBot="1">
      <c r="A145" s="311" t="s">
        <v>282</v>
      </c>
      <c r="B145" s="312"/>
      <c r="C145" s="312"/>
      <c r="D145" s="312"/>
      <c r="E145" s="312"/>
      <c r="F145" s="312"/>
      <c r="G145" s="312"/>
      <c r="H145" s="312"/>
      <c r="I145" s="312"/>
      <c r="J145" s="312"/>
      <c r="K145" s="312"/>
      <c r="L145" s="312"/>
      <c r="M145" s="312"/>
      <c r="N145" s="312"/>
      <c r="O145" s="312"/>
      <c r="P145" s="312"/>
      <c r="Q145" s="312"/>
      <c r="R145" s="312"/>
      <c r="S145" s="312"/>
      <c r="T145" s="312"/>
      <c r="U145" s="312"/>
      <c r="V145" s="312"/>
      <c r="W145" s="312"/>
      <c r="X145" s="312"/>
      <c r="Y145" s="312"/>
      <c r="Z145" s="312"/>
      <c r="AA145" s="312"/>
      <c r="AB145" s="312"/>
      <c r="AC145" s="312"/>
      <c r="AD145" s="312"/>
      <c r="AE145" s="312"/>
      <c r="AF145" s="313"/>
    </row>
    <row r="146" spans="1:32" ht="20.25" thickTop="1" thickBot="1">
      <c r="F146" s="24"/>
      <c r="G146" s="24"/>
      <c r="H146" s="24"/>
      <c r="I146" s="24"/>
      <c r="J146" s="24"/>
      <c r="K146" s="24"/>
      <c r="L146" s="24"/>
      <c r="M146" s="24"/>
      <c r="N146" s="24"/>
      <c r="Z146" s="24">
        <f>Z140+Z141+Z142</f>
        <v>79677.281640059999</v>
      </c>
      <c r="AC146" s="24">
        <f>AC140+AC141+AC142</f>
        <v>82848.919872940009</v>
      </c>
    </row>
    <row r="147" spans="1:32" ht="62.25" customHeight="1" thickTop="1">
      <c r="A147" s="314" t="s">
        <v>541</v>
      </c>
      <c r="B147" s="315"/>
      <c r="C147" s="315"/>
      <c r="D147" s="315"/>
      <c r="E147" s="315"/>
      <c r="F147" s="315"/>
      <c r="G147" s="315"/>
      <c r="H147" s="315"/>
      <c r="I147" s="315"/>
      <c r="J147" s="315"/>
      <c r="K147" s="315"/>
      <c r="L147" s="315"/>
      <c r="M147" s="315"/>
      <c r="N147" s="315"/>
      <c r="O147" s="315"/>
      <c r="P147" s="315"/>
      <c r="Q147" s="315"/>
      <c r="R147" s="315"/>
      <c r="S147" s="315"/>
      <c r="T147" s="315"/>
      <c r="U147" s="315"/>
      <c r="V147" s="315"/>
      <c r="W147" s="315"/>
      <c r="X147" s="315"/>
      <c r="Y147" s="315"/>
      <c r="Z147" s="315"/>
      <c r="AA147" s="315"/>
      <c r="AB147" s="315"/>
      <c r="AC147" s="315"/>
      <c r="AD147" s="315"/>
      <c r="AE147" s="315"/>
      <c r="AF147" s="316"/>
    </row>
    <row r="148" spans="1:32" ht="18" customHeight="1">
      <c r="A148" s="23"/>
      <c r="B148" s="20"/>
      <c r="C148" s="20"/>
      <c r="D148" s="20"/>
      <c r="E148" s="20"/>
      <c r="F148" s="20"/>
      <c r="G148" s="20"/>
      <c r="H148" s="20"/>
      <c r="I148" s="20"/>
      <c r="J148" s="63"/>
      <c r="K148" s="20"/>
      <c r="L148" s="20"/>
      <c r="O148" s="310" t="s">
        <v>283</v>
      </c>
      <c r="P148" s="310"/>
      <c r="Q148" s="318">
        <f>$C$3</f>
        <v>45026</v>
      </c>
      <c r="R148" s="318"/>
      <c r="S148" s="318"/>
      <c r="T148" s="310"/>
      <c r="U148" s="310"/>
      <c r="V148" s="306"/>
      <c r="W148" s="306"/>
      <c r="X148" s="307"/>
      <c r="Z148" s="20"/>
      <c r="AA148" s="20"/>
      <c r="AF148" s="133"/>
    </row>
    <row r="149" spans="1:32" ht="26.25" customHeight="1">
      <c r="A149" s="292" t="s">
        <v>442</v>
      </c>
      <c r="B149" s="293"/>
      <c r="C149" s="293"/>
      <c r="D149" s="293"/>
      <c r="E149" s="293"/>
      <c r="F149" s="293"/>
      <c r="G149" s="293"/>
      <c r="H149" s="293"/>
      <c r="I149" s="294" t="s">
        <v>2</v>
      </c>
      <c r="J149" s="295"/>
      <c r="K149" s="295"/>
      <c r="L149" s="295"/>
      <c r="M149" s="295"/>
      <c r="N149" s="296" t="s">
        <v>367</v>
      </c>
      <c r="O149" s="298" t="s">
        <v>3</v>
      </c>
      <c r="P149" s="299"/>
      <c r="Q149" s="299"/>
      <c r="R149" s="299"/>
      <c r="S149" s="300"/>
      <c r="T149" s="301" t="s">
        <v>113</v>
      </c>
      <c r="U149" s="301"/>
      <c r="V149" s="301"/>
      <c r="W149" s="301"/>
      <c r="X149" s="302"/>
      <c r="Z149" s="299" t="s">
        <v>2</v>
      </c>
      <c r="AA149" s="299"/>
      <c r="AB149" s="300"/>
      <c r="AC149" s="296" t="s">
        <v>367</v>
      </c>
      <c r="AD149" s="299" t="s">
        <v>3</v>
      </c>
      <c r="AE149" s="299"/>
      <c r="AF149" s="308"/>
    </row>
    <row r="150" spans="1:32" ht="33" customHeight="1">
      <c r="A150" s="256" t="s">
        <v>0</v>
      </c>
      <c r="B150" s="257" t="s">
        <v>243</v>
      </c>
      <c r="C150" s="255" t="s">
        <v>361</v>
      </c>
      <c r="D150" s="257" t="s">
        <v>355</v>
      </c>
      <c r="E150" s="257" t="s">
        <v>356</v>
      </c>
      <c r="F150" s="255" t="s">
        <v>1</v>
      </c>
      <c r="G150" s="255" t="s">
        <v>362</v>
      </c>
      <c r="H150" s="255" t="s">
        <v>358</v>
      </c>
      <c r="I150" s="255" t="s">
        <v>257</v>
      </c>
      <c r="J150" s="266" t="s">
        <v>4</v>
      </c>
      <c r="K150" s="255" t="s">
        <v>5</v>
      </c>
      <c r="L150" s="303" t="s">
        <v>4</v>
      </c>
      <c r="M150" s="304"/>
      <c r="N150" s="297"/>
      <c r="O150" s="255" t="str">
        <f>I150</f>
        <v>Meta</v>
      </c>
      <c r="P150" s="266" t="s">
        <v>4</v>
      </c>
      <c r="Q150" s="255" t="s">
        <v>5</v>
      </c>
      <c r="R150" s="303" t="s">
        <v>4</v>
      </c>
      <c r="S150" s="304"/>
      <c r="T150" s="255" t="str">
        <f>O150</f>
        <v>Meta</v>
      </c>
      <c r="U150" s="255" t="s">
        <v>4</v>
      </c>
      <c r="V150" s="255" t="s">
        <v>5</v>
      </c>
      <c r="W150" s="303" t="s">
        <v>4</v>
      </c>
      <c r="X150" s="305"/>
      <c r="Z150" s="255" t="s">
        <v>5</v>
      </c>
      <c r="AA150" s="303" t="s">
        <v>4</v>
      </c>
      <c r="AB150" s="304"/>
      <c r="AC150" s="297"/>
      <c r="AD150" s="255" t="s">
        <v>5</v>
      </c>
      <c r="AE150" s="303" t="s">
        <v>4</v>
      </c>
      <c r="AF150" s="309"/>
    </row>
    <row r="151" spans="1:32" s="41" customFormat="1" ht="20.25" customHeight="1">
      <c r="A151" s="38" t="s">
        <v>24</v>
      </c>
      <c r="B151" s="41" t="s">
        <v>24</v>
      </c>
      <c r="C151" s="35">
        <f>VLOOKUP(B151,REPORTE!$B$3:$AS$200,2,FALSE)/1000000</f>
        <v>2845.8970709999999</v>
      </c>
      <c r="D151" s="35">
        <f>VLOOKUP(B151,REPORTE!$B$3:$AS$200,3,FALSE)/1000000</f>
        <v>0</v>
      </c>
      <c r="E151" s="35">
        <f>VLOOKUP(B151,REPORTE!$B$3:$AS$200,4,FALSE)/1000000</f>
        <v>0</v>
      </c>
      <c r="F151" s="35">
        <f>VLOOKUP(B151,REPORTE!$B$3:$AS$200,5,FALSE)/1000000</f>
        <v>2845.8970709999999</v>
      </c>
      <c r="G151" s="35">
        <f>(VLOOKUP(B151,REPORTE!$B$3:$AS$200,6,FALSE)/1000000)</f>
        <v>0</v>
      </c>
      <c r="H151" s="35">
        <f t="shared" ref="H151:H181" si="417">F151-G151</f>
        <v>2845.8970709999999</v>
      </c>
      <c r="I151" s="35">
        <f t="shared" ref="I151:I182" si="418">J151*$H151</f>
        <v>996.16460282369621</v>
      </c>
      <c r="J151" s="36">
        <f t="shared" ref="J151:J181" si="419">$J$6</f>
        <v>0.3500353589645675</v>
      </c>
      <c r="K151" s="35">
        <f>VLOOKUP($B151,REPORTE!$B$3:$AS$200,8,FALSE)/1000000</f>
        <v>798.84364000000005</v>
      </c>
      <c r="L151" s="36">
        <f t="shared" ref="L151:L181" si="420">IF(H151=0,"",IF(H151="","",K151/$H151))</f>
        <v>0.28070011671901401</v>
      </c>
      <c r="M151" s="60">
        <f t="shared" ref="M151:M181" si="421">L151/J151</f>
        <v>0.80191931909206926</v>
      </c>
      <c r="N151" s="35">
        <f t="shared" ref="N151:N181" si="422">H151-K151</f>
        <v>2047.0534309999998</v>
      </c>
      <c r="O151" s="35">
        <f t="shared" ref="O151:O182" si="423">P151*$H151</f>
        <v>461.07809016945311</v>
      </c>
      <c r="P151" s="36">
        <f t="shared" ref="P151:P181" si="424">$P$6</f>
        <v>0.1620150267793902</v>
      </c>
      <c r="Q151" s="35">
        <f>VLOOKUP($B151,REPORTE!$B$3:$AS$200,10,FALSE)/1000000</f>
        <v>798.84364000000005</v>
      </c>
      <c r="R151" s="36">
        <f t="shared" ref="R151:R181" si="425">IF(H151=0,"",IF(H151="","",Q151/$H151))</f>
        <v>0.28070011671901401</v>
      </c>
      <c r="S151" s="60">
        <f t="shared" ref="S151:S182" si="426">R151/P151</f>
        <v>1.7325560616129321</v>
      </c>
      <c r="T151" s="39">
        <f t="shared" ref="T151:T182" si="427">U151*$H151</f>
        <v>441.11404600499998</v>
      </c>
      <c r="U151" s="40">
        <f t="shared" ref="U151:U182" si="428">$U$6</f>
        <v>0.155</v>
      </c>
      <c r="V151" s="35">
        <f>VLOOKUP($B151,REPORTE!$B$3:$AS$200,11,FALSE)/1000000</f>
        <v>797.85613000000001</v>
      </c>
      <c r="W151" s="36">
        <f t="shared" ref="W151:W181" si="429">IF(H151=0,"",IF(H151="","",V151/$H151))</f>
        <v>0.28035312244080807</v>
      </c>
      <c r="X151" s="145">
        <f t="shared" ref="X151:X182" si="430">W151/U151</f>
        <v>1.8087298221987618</v>
      </c>
      <c r="Z151" s="35">
        <f>VLOOKUP($B151,REPORTE!$B$3:$AS$200,8,FALSE)/1000000</f>
        <v>798.84364000000005</v>
      </c>
      <c r="AA151" s="36">
        <f t="shared" ref="AA151:AA181" si="431">IF(F151=0,"",IF(F151="","",Z151/$F151))</f>
        <v>0.28070011671901401</v>
      </c>
      <c r="AB151" s="60">
        <f t="shared" ref="AB151:AB182" si="432">AA151/$J151</f>
        <v>0.80191931909206926</v>
      </c>
      <c r="AC151" s="35">
        <f t="shared" ref="AC151:AC181" si="433">F151-Z151</f>
        <v>2047.0534309999998</v>
      </c>
      <c r="AD151" s="35">
        <f>VLOOKUP($B151,REPORTE!$B$3:$AS$200,10,FALSE)/1000000</f>
        <v>798.84364000000005</v>
      </c>
      <c r="AE151" s="36">
        <f t="shared" ref="AE151:AE181" si="434">IF(F151=0,"",IF(F151="","",AD151/$F151))</f>
        <v>0.28070011671901401</v>
      </c>
      <c r="AF151" s="127">
        <f t="shared" ref="AF151:AF182" si="435">AE151/P151</f>
        <v>1.7325560616129321</v>
      </c>
    </row>
    <row r="152" spans="1:32" s="41" customFormat="1" ht="21" customHeight="1">
      <c r="A152" s="38" t="s">
        <v>392</v>
      </c>
      <c r="B152" s="34" t="s">
        <v>392</v>
      </c>
      <c r="C152" s="35">
        <f>VLOOKUP(B152,REPORTE!$B$3:$AS$200,2,FALSE)/1000000</f>
        <v>0</v>
      </c>
      <c r="D152" s="35">
        <f>VLOOKUP(B152,REPORTE!$B$3:$AS$200,3,FALSE)/1000000</f>
        <v>0</v>
      </c>
      <c r="E152" s="35">
        <f>VLOOKUP(B152,REPORTE!$B$3:$AS$200,4,FALSE)/1000000</f>
        <v>0</v>
      </c>
      <c r="F152" s="35">
        <f>VLOOKUP(B152,REPORTE!$B$3:$AS$200,5,FALSE)/1000000</f>
        <v>0</v>
      </c>
      <c r="G152" s="35">
        <f>(VLOOKUP(B152,REPORTE!$B$3:$AS$200,6,FALSE)/1000000)</f>
        <v>0</v>
      </c>
      <c r="H152" s="35">
        <f t="shared" ref="H152" si="436">F152-G152</f>
        <v>0</v>
      </c>
      <c r="I152" s="35">
        <f t="shared" ref="I152" si="437">J152*$H152</f>
        <v>0</v>
      </c>
      <c r="J152" s="36">
        <f t="shared" si="419"/>
        <v>0.3500353589645675</v>
      </c>
      <c r="K152" s="35">
        <f>VLOOKUP($B152,REPORTE!$B$3:$AS$200,8,FALSE)/1000000</f>
        <v>0</v>
      </c>
      <c r="L152" s="36" t="str">
        <f t="shared" ref="L152" si="438">IF(H152=0,"",IF(H152="","",K152/$H152))</f>
        <v/>
      </c>
      <c r="M152" s="60" t="e">
        <f t="shared" ref="M152" si="439">L152/J152</f>
        <v>#VALUE!</v>
      </c>
      <c r="N152" s="35">
        <f t="shared" ref="N152" si="440">H152-K152</f>
        <v>0</v>
      </c>
      <c r="O152" s="35">
        <f t="shared" ref="O152" si="441">P152*$H152</f>
        <v>0</v>
      </c>
      <c r="P152" s="36">
        <f t="shared" si="424"/>
        <v>0.1620150267793902</v>
      </c>
      <c r="Q152" s="35">
        <f>VLOOKUP($B152,REPORTE!$B$3:$AS$200,10,FALSE)/1000000</f>
        <v>0</v>
      </c>
      <c r="R152" s="36" t="str">
        <f t="shared" ref="R152" si="442">IF(H152=0,"",IF(H152="","",Q152/$H152))</f>
        <v/>
      </c>
      <c r="S152" s="60" t="e">
        <f t="shared" ref="S152" si="443">R152/P152</f>
        <v>#VALUE!</v>
      </c>
      <c r="T152" s="39">
        <f t="shared" ref="T152" si="444">U152*$H152</f>
        <v>0</v>
      </c>
      <c r="U152" s="40">
        <f t="shared" si="428"/>
        <v>0.155</v>
      </c>
      <c r="V152" s="35">
        <f>VLOOKUP($B152,REPORTE!$B$3:$AS$200,11,FALSE)/1000000</f>
        <v>0</v>
      </c>
      <c r="W152" s="36" t="str">
        <f t="shared" ref="W152" si="445">IF(H152=0,"",IF(H152="","",V152/$H152))</f>
        <v/>
      </c>
      <c r="X152" s="145" t="e">
        <f t="shared" ref="X152" si="446">W152/U152</f>
        <v>#VALUE!</v>
      </c>
      <c r="Z152" s="35">
        <f>VLOOKUP($B152,REPORTE!$B$3:$AS$200,8,FALSE)/1000000</f>
        <v>0</v>
      </c>
      <c r="AA152" s="36" t="str">
        <f t="shared" ref="AA152" si="447">IF(F152=0,"",IF(F152="","",Z152/$F152))</f>
        <v/>
      </c>
      <c r="AB152" s="60" t="e">
        <f t="shared" si="432"/>
        <v>#VALUE!</v>
      </c>
      <c r="AC152" s="35">
        <f t="shared" ref="AC152" si="448">F152-Z152</f>
        <v>0</v>
      </c>
      <c r="AD152" s="35">
        <f>VLOOKUP($B152,REPORTE!$B$3:$AS$200,10,FALSE)/1000000</f>
        <v>0</v>
      </c>
      <c r="AE152" s="36" t="str">
        <f t="shared" ref="AE152" si="449">IF(F152=0,"",IF(F152="","",AD152/$F152))</f>
        <v/>
      </c>
      <c r="AF152" s="127" t="e">
        <f t="shared" ref="AF152" si="450">AE152/P152</f>
        <v>#VALUE!</v>
      </c>
    </row>
    <row r="153" spans="1:32" s="41" customFormat="1" ht="20.25" customHeight="1">
      <c r="A153" s="38" t="s">
        <v>27</v>
      </c>
      <c r="B153" s="34" t="s">
        <v>27</v>
      </c>
      <c r="C153" s="35">
        <f>VLOOKUP(B153,REPORTE!$B$3:$AS$200,2,FALSE)/1000000</f>
        <v>3838.5667859999999</v>
      </c>
      <c r="D153" s="35">
        <f>VLOOKUP(B153,REPORTE!$B$3:$AS$200,3,FALSE)/1000000</f>
        <v>0</v>
      </c>
      <c r="E153" s="35">
        <f>VLOOKUP(B153,REPORTE!$B$3:$AS$200,4,FALSE)/1000000</f>
        <v>0</v>
      </c>
      <c r="F153" s="35">
        <f>VLOOKUP(B153,REPORTE!$B$3:$AS$200,5,FALSE)/1000000</f>
        <v>3838.5667859999999</v>
      </c>
      <c r="G153" s="35">
        <f>(VLOOKUP(B153,REPORTE!$B$3:$AS$200,6,FALSE)/1000000)</f>
        <v>0</v>
      </c>
      <c r="H153" s="35">
        <f t="shared" si="417"/>
        <v>3838.5667859999999</v>
      </c>
      <c r="I153" s="35">
        <f t="shared" si="418"/>
        <v>1343.634102846976</v>
      </c>
      <c r="J153" s="36">
        <f t="shared" si="419"/>
        <v>0.3500353589645675</v>
      </c>
      <c r="K153" s="35">
        <f>VLOOKUP($B153,REPORTE!$B$3:$AS$200,8,FALSE)/1000000</f>
        <v>528.20000000000005</v>
      </c>
      <c r="L153" s="36">
        <f t="shared" si="420"/>
        <v>0.13760344145279646</v>
      </c>
      <c r="M153" s="60">
        <f t="shared" si="421"/>
        <v>0.39311297538579648</v>
      </c>
      <c r="N153" s="35">
        <f t="shared" si="422"/>
        <v>3310.3667859999996</v>
      </c>
      <c r="O153" s="35">
        <f t="shared" si="423"/>
        <v>621.90550062826776</v>
      </c>
      <c r="P153" s="36">
        <f t="shared" si="424"/>
        <v>0.1620150267793902</v>
      </c>
      <c r="Q153" s="35">
        <f>VLOOKUP($B153,REPORTE!$B$3:$AS$200,10,FALSE)/1000000</f>
        <v>521.20000000000005</v>
      </c>
      <c r="R153" s="36">
        <f t="shared" si="425"/>
        <v>0.13577984415978325</v>
      </c>
      <c r="S153" s="60">
        <f t="shared" si="426"/>
        <v>0.83806944861151422</v>
      </c>
      <c r="T153" s="39">
        <f t="shared" si="427"/>
        <v>594.97785182999996</v>
      </c>
      <c r="U153" s="40">
        <f t="shared" si="428"/>
        <v>0.155</v>
      </c>
      <c r="V153" s="35">
        <f>VLOOKUP($B153,REPORTE!$B$3:$AS$200,11,FALSE)/1000000</f>
        <v>521.20000000000005</v>
      </c>
      <c r="W153" s="36">
        <f t="shared" si="429"/>
        <v>0.13577984415978325</v>
      </c>
      <c r="X153" s="145">
        <f t="shared" si="430"/>
        <v>0.87599899457924679</v>
      </c>
      <c r="Z153" s="35">
        <f>VLOOKUP($B153,REPORTE!$B$3:$AS$200,8,FALSE)/1000000</f>
        <v>528.20000000000005</v>
      </c>
      <c r="AA153" s="36">
        <f t="shared" si="431"/>
        <v>0.13760344145279646</v>
      </c>
      <c r="AB153" s="60">
        <f t="shared" si="432"/>
        <v>0.39311297538579648</v>
      </c>
      <c r="AC153" s="35">
        <f t="shared" si="433"/>
        <v>3310.3667859999996</v>
      </c>
      <c r="AD153" s="35">
        <f>VLOOKUP($B153,REPORTE!$B$3:$AS$200,10,FALSE)/1000000</f>
        <v>521.20000000000005</v>
      </c>
      <c r="AE153" s="36">
        <f t="shared" si="434"/>
        <v>0.13577984415978325</v>
      </c>
      <c r="AF153" s="127">
        <f t="shared" si="435"/>
        <v>0.83806944861151422</v>
      </c>
    </row>
    <row r="154" spans="1:32" s="41" customFormat="1" ht="20.25" customHeight="1">
      <c r="A154" s="38" t="s">
        <v>28</v>
      </c>
      <c r="B154" s="34" t="s">
        <v>28</v>
      </c>
      <c r="C154" s="35">
        <f>VLOOKUP(B154,REPORTE!$B$3:$AS$200,2,FALSE)/1000000</f>
        <v>14718.09561</v>
      </c>
      <c r="D154" s="35">
        <f>VLOOKUP(B154,REPORTE!$B$3:$AS$200,3,FALSE)/1000000</f>
        <v>0</v>
      </c>
      <c r="E154" s="35">
        <f>VLOOKUP(B154,REPORTE!$B$3:$AS$200,4,FALSE)/1000000</f>
        <v>0</v>
      </c>
      <c r="F154" s="35">
        <f>VLOOKUP(B154,REPORTE!$B$3:$AS$200,5,FALSE)/1000000</f>
        <v>14718.09561</v>
      </c>
      <c r="G154" s="35">
        <f>(VLOOKUP(B154,REPORTE!$B$3:$AS$200,6,FALSE)/1000000)</f>
        <v>0</v>
      </c>
      <c r="H154" s="35">
        <f t="shared" si="417"/>
        <v>14718.09561</v>
      </c>
      <c r="I154" s="35">
        <f t="shared" si="418"/>
        <v>5151.8538801211753</v>
      </c>
      <c r="J154" s="36">
        <f t="shared" si="419"/>
        <v>0.3500353589645675</v>
      </c>
      <c r="K154" s="35">
        <f>VLOOKUP($B154,REPORTE!$B$3:$AS$200,8,FALSE)/1000000</f>
        <v>13201.619941999999</v>
      </c>
      <c r="L154" s="36">
        <f t="shared" si="420"/>
        <v>0.89696522510903831</v>
      </c>
      <c r="M154" s="60">
        <f t="shared" si="421"/>
        <v>2.562498908002703</v>
      </c>
      <c r="N154" s="35">
        <f t="shared" si="422"/>
        <v>1516.475668000001</v>
      </c>
      <c r="O154" s="35">
        <f t="shared" si="423"/>
        <v>2384.5526543957753</v>
      </c>
      <c r="P154" s="36">
        <f t="shared" si="424"/>
        <v>0.1620150267793902</v>
      </c>
      <c r="Q154" s="35">
        <f>VLOOKUP($B154,REPORTE!$B$3:$AS$200,10,FALSE)/1000000</f>
        <v>1076.7971439999999</v>
      </c>
      <c r="R154" s="36">
        <f t="shared" si="425"/>
        <v>7.3161445103562539E-2</v>
      </c>
      <c r="S154" s="60">
        <f t="shared" si="426"/>
        <v>0.45157197179730585</v>
      </c>
      <c r="T154" s="39">
        <f t="shared" si="427"/>
        <v>2281.30481955</v>
      </c>
      <c r="U154" s="40">
        <f t="shared" si="428"/>
        <v>0.155</v>
      </c>
      <c r="V154" s="35">
        <f>VLOOKUP($B154,REPORTE!$B$3:$AS$200,11,FALSE)/1000000</f>
        <v>812.98140000000001</v>
      </c>
      <c r="W154" s="36">
        <f t="shared" si="429"/>
        <v>5.5236860905267623E-2</v>
      </c>
      <c r="X154" s="145">
        <f t="shared" si="430"/>
        <v>0.35636684455011369</v>
      </c>
      <c r="Z154" s="35">
        <f>VLOOKUP($B154,REPORTE!$B$3:$AS$200,8,FALSE)/1000000</f>
        <v>13201.619941999999</v>
      </c>
      <c r="AA154" s="36">
        <f t="shared" si="431"/>
        <v>0.89696522510903831</v>
      </c>
      <c r="AB154" s="60">
        <f t="shared" si="432"/>
        <v>2.562498908002703</v>
      </c>
      <c r="AC154" s="35">
        <f t="shared" si="433"/>
        <v>1516.475668000001</v>
      </c>
      <c r="AD154" s="35">
        <f>VLOOKUP($B154,REPORTE!$B$3:$AS$200,10,FALSE)/1000000</f>
        <v>1076.7971439999999</v>
      </c>
      <c r="AE154" s="36">
        <f t="shared" si="434"/>
        <v>7.3161445103562539E-2</v>
      </c>
      <c r="AF154" s="127">
        <f t="shared" si="435"/>
        <v>0.45157197179730585</v>
      </c>
    </row>
    <row r="155" spans="1:32" s="41" customFormat="1" ht="20.25" customHeight="1">
      <c r="A155" s="38" t="s">
        <v>29</v>
      </c>
      <c r="B155" s="34" t="s">
        <v>29</v>
      </c>
      <c r="C155" s="35">
        <f>VLOOKUP(B155,REPORTE!$B$3:$AS$200,2,FALSE)/1000000</f>
        <v>2755.9136619999999</v>
      </c>
      <c r="D155" s="35">
        <f>VLOOKUP(B155,REPORTE!$B$3:$AS$200,3,FALSE)/1000000</f>
        <v>0</v>
      </c>
      <c r="E155" s="35">
        <f>VLOOKUP(B155,REPORTE!$B$3:$AS$200,4,FALSE)/1000000</f>
        <v>0</v>
      </c>
      <c r="F155" s="35">
        <f>VLOOKUP(B155,REPORTE!$B$3:$AS$200,5,FALSE)/1000000</f>
        <v>2755.9136619999999</v>
      </c>
      <c r="G155" s="35">
        <f>(VLOOKUP(B155,REPORTE!$B$3:$AS$200,6,FALSE)/1000000)</f>
        <v>0</v>
      </c>
      <c r="H155" s="35">
        <f t="shared" si="417"/>
        <v>2755.9136619999999</v>
      </c>
      <c r="I155" s="35">
        <f t="shared" si="418"/>
        <v>964.66722795352575</v>
      </c>
      <c r="J155" s="36">
        <f t="shared" si="419"/>
        <v>0.3500353589645675</v>
      </c>
      <c r="K155" s="35">
        <f>VLOOKUP($B155,REPORTE!$B$3:$AS$200,8,FALSE)/1000000</f>
        <v>683.36677199999997</v>
      </c>
      <c r="L155" s="36">
        <f t="shared" si="420"/>
        <v>0.24796378109467784</v>
      </c>
      <c r="M155" s="60">
        <f t="shared" si="421"/>
        <v>0.70839637980624148</v>
      </c>
      <c r="N155" s="35">
        <f t="shared" si="422"/>
        <v>2072.5468900000001</v>
      </c>
      <c r="O155" s="35">
        <f t="shared" si="423"/>
        <v>446.49942575061732</v>
      </c>
      <c r="P155" s="36">
        <f t="shared" si="424"/>
        <v>0.1620150267793902</v>
      </c>
      <c r="Q155" s="35">
        <f>VLOOKUP($B155,REPORTE!$B$3:$AS$200,10,FALSE)/1000000</f>
        <v>668.83569999999997</v>
      </c>
      <c r="R155" s="36">
        <f t="shared" si="425"/>
        <v>0.24269109341931192</v>
      </c>
      <c r="S155" s="60">
        <f t="shared" si="426"/>
        <v>1.4979542221708564</v>
      </c>
      <c r="T155" s="39">
        <f t="shared" si="427"/>
        <v>427.16661761</v>
      </c>
      <c r="U155" s="40">
        <f t="shared" si="428"/>
        <v>0.155</v>
      </c>
      <c r="V155" s="35">
        <f>VLOOKUP($B155,REPORTE!$B$3:$AS$200,11,FALSE)/1000000</f>
        <v>668.83569999999997</v>
      </c>
      <c r="W155" s="36">
        <f t="shared" si="429"/>
        <v>0.24269109341931192</v>
      </c>
      <c r="X155" s="145">
        <f t="shared" si="430"/>
        <v>1.5657489898020123</v>
      </c>
      <c r="Z155" s="35">
        <f>VLOOKUP($B155,REPORTE!$B$3:$AS$200,8,FALSE)/1000000</f>
        <v>683.36677199999997</v>
      </c>
      <c r="AA155" s="36">
        <f t="shared" si="431"/>
        <v>0.24796378109467784</v>
      </c>
      <c r="AB155" s="60">
        <f t="shared" si="432"/>
        <v>0.70839637980624148</v>
      </c>
      <c r="AC155" s="35">
        <f t="shared" si="433"/>
        <v>2072.5468900000001</v>
      </c>
      <c r="AD155" s="35">
        <f>VLOOKUP($B155,REPORTE!$B$3:$AS$200,10,FALSE)/1000000</f>
        <v>668.83569999999997</v>
      </c>
      <c r="AE155" s="36">
        <f t="shared" si="434"/>
        <v>0.24269109341931192</v>
      </c>
      <c r="AF155" s="127">
        <f t="shared" si="435"/>
        <v>1.4979542221708564</v>
      </c>
    </row>
    <row r="156" spans="1:32" s="41" customFormat="1" ht="20.25" customHeight="1">
      <c r="A156" s="38" t="s">
        <v>30</v>
      </c>
      <c r="B156" s="34" t="s">
        <v>30</v>
      </c>
      <c r="C156" s="35">
        <f>VLOOKUP(B156,REPORTE!$B$3:$AS$200,2,FALSE)/1000000</f>
        <v>5973.005357</v>
      </c>
      <c r="D156" s="35">
        <f>VLOOKUP(B156,REPORTE!$B$3:$AS$200,3,FALSE)/1000000</f>
        <v>0</v>
      </c>
      <c r="E156" s="35">
        <f>VLOOKUP(B156,REPORTE!$B$3:$AS$200,4,FALSE)/1000000</f>
        <v>0</v>
      </c>
      <c r="F156" s="35">
        <f>VLOOKUP(B156,REPORTE!$B$3:$AS$200,5,FALSE)/1000000</f>
        <v>5973.005357</v>
      </c>
      <c r="G156" s="35">
        <f>(VLOOKUP(B156,REPORTE!$B$3:$AS$200,6,FALSE)/1000000)</f>
        <v>0</v>
      </c>
      <c r="H156" s="35">
        <f t="shared" si="417"/>
        <v>5973.005357</v>
      </c>
      <c r="I156" s="35">
        <f t="shared" si="418"/>
        <v>2090.7630742347797</v>
      </c>
      <c r="J156" s="36">
        <f t="shared" si="419"/>
        <v>0.3500353589645675</v>
      </c>
      <c r="K156" s="35">
        <f>VLOOKUP($B156,REPORTE!$B$3:$AS$200,8,FALSE)/1000000</f>
        <v>4757.4803499999998</v>
      </c>
      <c r="L156" s="36">
        <f t="shared" si="420"/>
        <v>0.79649691665260625</v>
      </c>
      <c r="M156" s="60">
        <f t="shared" si="421"/>
        <v>2.2754755948333552</v>
      </c>
      <c r="N156" s="35">
        <f t="shared" si="422"/>
        <v>1215.5250070000002</v>
      </c>
      <c r="O156" s="35">
        <f t="shared" si="423"/>
        <v>967.7166228677961</v>
      </c>
      <c r="P156" s="36">
        <f t="shared" si="424"/>
        <v>0.1620150267793902</v>
      </c>
      <c r="Q156" s="35">
        <f>VLOOKUP($B156,REPORTE!$B$3:$AS$200,10,FALSE)/1000000</f>
        <v>1108.876393</v>
      </c>
      <c r="R156" s="36">
        <f t="shared" si="425"/>
        <v>0.18564798233446486</v>
      </c>
      <c r="S156" s="60">
        <f t="shared" si="426"/>
        <v>1.1458689112044822</v>
      </c>
      <c r="T156" s="39">
        <f t="shared" si="427"/>
        <v>925.81583033499999</v>
      </c>
      <c r="U156" s="40">
        <f t="shared" si="428"/>
        <v>0.155</v>
      </c>
      <c r="V156" s="35">
        <f>VLOOKUP($B156,REPORTE!$B$3:$AS$200,11,FALSE)/1000000</f>
        <v>1108.876393</v>
      </c>
      <c r="W156" s="36">
        <f t="shared" si="429"/>
        <v>0.18564798233446486</v>
      </c>
      <c r="X156" s="145">
        <f t="shared" si="430"/>
        <v>1.19772891828687</v>
      </c>
      <c r="Z156" s="35">
        <f>VLOOKUP($B156,REPORTE!$B$3:$AS$200,8,FALSE)/1000000</f>
        <v>4757.4803499999998</v>
      </c>
      <c r="AA156" s="36">
        <f t="shared" si="431"/>
        <v>0.79649691665260625</v>
      </c>
      <c r="AB156" s="60">
        <f t="shared" si="432"/>
        <v>2.2754755948333552</v>
      </c>
      <c r="AC156" s="35">
        <f t="shared" si="433"/>
        <v>1215.5250070000002</v>
      </c>
      <c r="AD156" s="35">
        <f>VLOOKUP($B156,REPORTE!$B$3:$AS$200,10,FALSE)/1000000</f>
        <v>1108.876393</v>
      </c>
      <c r="AE156" s="36">
        <f t="shared" si="434"/>
        <v>0.18564798233446486</v>
      </c>
      <c r="AF156" s="127">
        <f t="shared" si="435"/>
        <v>1.1458689112044822</v>
      </c>
    </row>
    <row r="157" spans="1:32" s="41" customFormat="1" ht="20.25" customHeight="1">
      <c r="A157" s="38" t="s">
        <v>32</v>
      </c>
      <c r="B157" s="34" t="s">
        <v>32</v>
      </c>
      <c r="C157" s="35">
        <f>VLOOKUP(B157,REPORTE!$B$3:$AS$200,2,FALSE)/1000000</f>
        <v>2515</v>
      </c>
      <c r="D157" s="35">
        <f>VLOOKUP(B157,REPORTE!$B$3:$AS$200,3,FALSE)/1000000</f>
        <v>0</v>
      </c>
      <c r="E157" s="35">
        <f>VLOOKUP(B157,REPORTE!$B$3:$AS$200,4,FALSE)/1000000</f>
        <v>0</v>
      </c>
      <c r="F157" s="35">
        <f>VLOOKUP(B157,REPORTE!$B$3:$AS$200,5,FALSE)/1000000</f>
        <v>2515</v>
      </c>
      <c r="G157" s="35">
        <f>(VLOOKUP(B157,REPORTE!$B$3:$AS$200,6,FALSE)/1000000)</f>
        <v>0</v>
      </c>
      <c r="H157" s="35">
        <f t="shared" si="417"/>
        <v>2515</v>
      </c>
      <c r="I157" s="35">
        <f t="shared" si="418"/>
        <v>880.33892779588723</v>
      </c>
      <c r="J157" s="36">
        <f t="shared" si="419"/>
        <v>0.3500353589645675</v>
      </c>
      <c r="K157" s="35">
        <f>VLOOKUP($B157,REPORTE!$B$3:$AS$200,8,FALSE)/1000000</f>
        <v>764.36742900000002</v>
      </c>
      <c r="L157" s="36">
        <f t="shared" si="420"/>
        <v>0.3039234310139165</v>
      </c>
      <c r="M157" s="60">
        <f t="shared" si="421"/>
        <v>0.86826494304160085</v>
      </c>
      <c r="N157" s="35">
        <f t="shared" si="422"/>
        <v>1750.6325710000001</v>
      </c>
      <c r="O157" s="35">
        <f t="shared" si="423"/>
        <v>407.46779235016635</v>
      </c>
      <c r="P157" s="36">
        <f t="shared" si="424"/>
        <v>0.1620150267793902</v>
      </c>
      <c r="Q157" s="35">
        <f>VLOOKUP($B157,REPORTE!$B$3:$AS$200,10,FALSE)/1000000</f>
        <v>764.36742900000002</v>
      </c>
      <c r="R157" s="36">
        <f t="shared" si="425"/>
        <v>0.3039234310139165</v>
      </c>
      <c r="S157" s="60">
        <f t="shared" si="426"/>
        <v>1.8758965575937452</v>
      </c>
      <c r="T157" s="39">
        <f t="shared" si="427"/>
        <v>389.82499999999999</v>
      </c>
      <c r="U157" s="40">
        <f t="shared" si="428"/>
        <v>0.155</v>
      </c>
      <c r="V157" s="35">
        <f>VLOOKUP($B157,REPORTE!$B$3:$AS$200,11,FALSE)/1000000</f>
        <v>497.39180699999997</v>
      </c>
      <c r="W157" s="36">
        <f t="shared" si="429"/>
        <v>0.19777010218687871</v>
      </c>
      <c r="X157" s="145">
        <f t="shared" si="430"/>
        <v>1.2759361431411529</v>
      </c>
      <c r="Z157" s="35">
        <f>VLOOKUP($B157,REPORTE!$B$3:$AS$200,8,FALSE)/1000000</f>
        <v>764.36742900000002</v>
      </c>
      <c r="AA157" s="36">
        <f t="shared" si="431"/>
        <v>0.3039234310139165</v>
      </c>
      <c r="AB157" s="60">
        <f t="shared" si="432"/>
        <v>0.86826494304160085</v>
      </c>
      <c r="AC157" s="35">
        <f t="shared" si="433"/>
        <v>1750.6325710000001</v>
      </c>
      <c r="AD157" s="35">
        <f>VLOOKUP($B157,REPORTE!$B$3:$AS$200,10,FALSE)/1000000</f>
        <v>764.36742900000002</v>
      </c>
      <c r="AE157" s="36">
        <f t="shared" si="434"/>
        <v>0.3039234310139165</v>
      </c>
      <c r="AF157" s="127">
        <f t="shared" si="435"/>
        <v>1.8758965575937452</v>
      </c>
    </row>
    <row r="158" spans="1:32" s="41" customFormat="1" ht="20.25" customHeight="1">
      <c r="A158" s="38" t="s">
        <v>33</v>
      </c>
      <c r="B158" s="34" t="s">
        <v>33</v>
      </c>
      <c r="C158" s="35">
        <f>VLOOKUP(B158,REPORTE!$B$3:$AS$200,2,FALSE)/1000000</f>
        <v>2729</v>
      </c>
      <c r="D158" s="35">
        <f>VLOOKUP(B158,REPORTE!$B$3:$AS$200,3,FALSE)/1000000</f>
        <v>0</v>
      </c>
      <c r="E158" s="35">
        <f>VLOOKUP(B158,REPORTE!$B$3:$AS$200,4,FALSE)/1000000</f>
        <v>0</v>
      </c>
      <c r="F158" s="35">
        <f>VLOOKUP(B158,REPORTE!$B$3:$AS$200,5,FALSE)/1000000</f>
        <v>2729</v>
      </c>
      <c r="G158" s="35">
        <f>(VLOOKUP(B158,REPORTE!$B$3:$AS$200,6,FALSE)/1000000)</f>
        <v>0</v>
      </c>
      <c r="H158" s="35">
        <f t="shared" si="417"/>
        <v>2729</v>
      </c>
      <c r="I158" s="35">
        <f t="shared" si="418"/>
        <v>955.24649461430465</v>
      </c>
      <c r="J158" s="36">
        <f t="shared" si="419"/>
        <v>0.3500353589645675</v>
      </c>
      <c r="K158" s="35">
        <f>VLOOKUP($B158,REPORTE!$B$3:$AS$200,8,FALSE)/1000000</f>
        <v>1058.9861162</v>
      </c>
      <c r="L158" s="36">
        <f t="shared" si="420"/>
        <v>0.38804914481495051</v>
      </c>
      <c r="M158" s="60">
        <f t="shared" si="421"/>
        <v>1.1085998453494266</v>
      </c>
      <c r="N158" s="35">
        <f t="shared" si="422"/>
        <v>1670.0138838</v>
      </c>
      <c r="O158" s="35">
        <f t="shared" si="423"/>
        <v>442.13900808095588</v>
      </c>
      <c r="P158" s="36">
        <f t="shared" si="424"/>
        <v>0.1620150267793902</v>
      </c>
      <c r="Q158" s="35">
        <f>VLOOKUP($B158,REPORTE!$B$3:$AS$200,10,FALSE)/1000000</f>
        <v>933.42250000000001</v>
      </c>
      <c r="R158" s="36">
        <f t="shared" si="425"/>
        <v>0.34203829241480393</v>
      </c>
      <c r="S158" s="60">
        <f t="shared" si="426"/>
        <v>2.1111516580529575</v>
      </c>
      <c r="T158" s="39">
        <f t="shared" si="427"/>
        <v>422.995</v>
      </c>
      <c r="U158" s="40">
        <f t="shared" si="428"/>
        <v>0.155</v>
      </c>
      <c r="V158" s="35">
        <f>VLOOKUP($B158,REPORTE!$B$3:$AS$200,11,FALSE)/1000000</f>
        <v>933.42250000000001</v>
      </c>
      <c r="W158" s="36">
        <f t="shared" si="429"/>
        <v>0.34203829241480393</v>
      </c>
      <c r="X158" s="145">
        <f t="shared" si="430"/>
        <v>2.2066986607406704</v>
      </c>
      <c r="Z158" s="35">
        <f>VLOOKUP($B158,REPORTE!$B$3:$AS$200,8,FALSE)/1000000</f>
        <v>1058.9861162</v>
      </c>
      <c r="AA158" s="36">
        <f t="shared" si="431"/>
        <v>0.38804914481495051</v>
      </c>
      <c r="AB158" s="60">
        <f t="shared" si="432"/>
        <v>1.1085998453494266</v>
      </c>
      <c r="AC158" s="35">
        <f t="shared" si="433"/>
        <v>1670.0138838</v>
      </c>
      <c r="AD158" s="35">
        <f>VLOOKUP($B158,REPORTE!$B$3:$AS$200,10,FALSE)/1000000</f>
        <v>933.42250000000001</v>
      </c>
      <c r="AE158" s="36">
        <f t="shared" si="434"/>
        <v>0.34203829241480393</v>
      </c>
      <c r="AF158" s="127">
        <f t="shared" si="435"/>
        <v>2.1111516580529575</v>
      </c>
    </row>
    <row r="159" spans="1:32" s="41" customFormat="1" ht="20.25" customHeight="1">
      <c r="A159" s="38" t="s">
        <v>35</v>
      </c>
      <c r="B159" s="34" t="s">
        <v>35</v>
      </c>
      <c r="C159" s="35">
        <f>VLOOKUP(B159,REPORTE!$B$3:$AS$200,2,FALSE)/1000000</f>
        <v>5344.4042730000001</v>
      </c>
      <c r="D159" s="35">
        <f>VLOOKUP(B159,REPORTE!$B$3:$AS$200,3,FALSE)/1000000</f>
        <v>0</v>
      </c>
      <c r="E159" s="35">
        <f>VLOOKUP(B159,REPORTE!$B$3:$AS$200,4,FALSE)/1000000</f>
        <v>0</v>
      </c>
      <c r="F159" s="35">
        <f>VLOOKUP(B159,REPORTE!$B$3:$AS$200,5,FALSE)/1000000</f>
        <v>5344.4042730000001</v>
      </c>
      <c r="G159" s="35">
        <f>(VLOOKUP(B159,REPORTE!$B$3:$AS$200,6,FALSE)/1000000)</f>
        <v>0</v>
      </c>
      <c r="H159" s="35">
        <f t="shared" si="417"/>
        <v>5344.4042730000001</v>
      </c>
      <c r="I159" s="35">
        <f t="shared" si="418"/>
        <v>1870.7304681513235</v>
      </c>
      <c r="J159" s="36">
        <f t="shared" si="419"/>
        <v>0.3500353589645675</v>
      </c>
      <c r="K159" s="35">
        <f>VLOOKUP($B159,REPORTE!$B$3:$AS$200,8,FALSE)/1000000</f>
        <v>1258.46406</v>
      </c>
      <c r="L159" s="36">
        <f t="shared" si="420"/>
        <v>0.23547321566928925</v>
      </c>
      <c r="M159" s="60">
        <f t="shared" si="421"/>
        <v>0.67271265498959243</v>
      </c>
      <c r="N159" s="35">
        <f t="shared" si="422"/>
        <v>4085.9402129999999</v>
      </c>
      <c r="O159" s="35">
        <f t="shared" si="423"/>
        <v>865.87380140998243</v>
      </c>
      <c r="P159" s="36">
        <f t="shared" si="424"/>
        <v>0.1620150267793902</v>
      </c>
      <c r="Q159" s="35">
        <f>VLOOKUP($B159,REPORTE!$B$3:$AS$200,10,FALSE)/1000000</f>
        <v>1258.46406</v>
      </c>
      <c r="R159" s="36">
        <f t="shared" si="425"/>
        <v>0.23547321566928925</v>
      </c>
      <c r="S159" s="60">
        <f t="shared" si="426"/>
        <v>1.4534035536711316</v>
      </c>
      <c r="T159" s="39">
        <f t="shared" si="427"/>
        <v>828.38266231500006</v>
      </c>
      <c r="U159" s="40">
        <f t="shared" si="428"/>
        <v>0.155</v>
      </c>
      <c r="V159" s="35">
        <f>VLOOKUP($B159,REPORTE!$B$3:$AS$200,11,FALSE)/1000000</f>
        <v>1165.0354600000001</v>
      </c>
      <c r="W159" s="36">
        <f t="shared" si="429"/>
        <v>0.21799164144182998</v>
      </c>
      <c r="X159" s="145">
        <f t="shared" si="430"/>
        <v>1.4063976867214838</v>
      </c>
      <c r="Z159" s="35">
        <f>VLOOKUP($B159,REPORTE!$B$3:$AS$200,8,FALSE)/1000000</f>
        <v>1258.46406</v>
      </c>
      <c r="AA159" s="36">
        <f t="shared" si="431"/>
        <v>0.23547321566928925</v>
      </c>
      <c r="AB159" s="60">
        <f t="shared" si="432"/>
        <v>0.67271265498959243</v>
      </c>
      <c r="AC159" s="35">
        <f t="shared" si="433"/>
        <v>4085.9402129999999</v>
      </c>
      <c r="AD159" s="35">
        <f>VLOOKUP($B159,REPORTE!$B$3:$AS$200,10,FALSE)/1000000</f>
        <v>1258.46406</v>
      </c>
      <c r="AE159" s="36">
        <f t="shared" si="434"/>
        <v>0.23547321566928925</v>
      </c>
      <c r="AF159" s="127">
        <f t="shared" si="435"/>
        <v>1.4534035536711316</v>
      </c>
    </row>
    <row r="160" spans="1:32" s="41" customFormat="1" ht="20.25" customHeight="1">
      <c r="A160" s="38" t="s">
        <v>36</v>
      </c>
      <c r="B160" s="34" t="s">
        <v>36</v>
      </c>
      <c r="C160" s="35">
        <f>VLOOKUP(B160,REPORTE!$B$3:$AS$200,2,FALSE)/1000000</f>
        <v>2996.582962</v>
      </c>
      <c r="D160" s="35">
        <f>VLOOKUP(B160,REPORTE!$B$3:$AS$200,3,FALSE)/1000000</f>
        <v>0</v>
      </c>
      <c r="E160" s="35">
        <f>VLOOKUP(B160,REPORTE!$B$3:$AS$200,4,FALSE)/1000000</f>
        <v>0</v>
      </c>
      <c r="F160" s="35">
        <f>VLOOKUP(B160,REPORTE!$B$3:$AS$200,5,FALSE)/1000000</f>
        <v>2996.582962</v>
      </c>
      <c r="G160" s="35">
        <f>(VLOOKUP(B160,REPORTE!$B$3:$AS$200,6,FALSE)/1000000)</f>
        <v>0</v>
      </c>
      <c r="H160" s="35">
        <f t="shared" si="417"/>
        <v>2996.582962</v>
      </c>
      <c r="I160" s="35">
        <f t="shared" si="418"/>
        <v>1048.9099927707769</v>
      </c>
      <c r="J160" s="36">
        <f t="shared" si="419"/>
        <v>0.3500353589645675</v>
      </c>
      <c r="K160" s="35">
        <f>VLOOKUP($B160,REPORTE!$B$3:$AS$200,8,FALSE)/1000000</f>
        <v>441.645128</v>
      </c>
      <c r="L160" s="36">
        <f t="shared" si="420"/>
        <v>0.14738291367218953</v>
      </c>
      <c r="M160" s="60">
        <f t="shared" si="421"/>
        <v>0.42105150207727565</v>
      </c>
      <c r="N160" s="35">
        <f t="shared" si="422"/>
        <v>2554.9378339999998</v>
      </c>
      <c r="O160" s="35">
        <f t="shared" si="423"/>
        <v>485.49146883509439</v>
      </c>
      <c r="P160" s="36">
        <f t="shared" si="424"/>
        <v>0.1620150267793902</v>
      </c>
      <c r="Q160" s="35">
        <f>VLOOKUP($B160,REPORTE!$B$3:$AS$200,10,FALSE)/1000000</f>
        <v>216.76031699999999</v>
      </c>
      <c r="R160" s="36">
        <f t="shared" si="425"/>
        <v>7.2335830427110323E-2</v>
      </c>
      <c r="S160" s="60">
        <f t="shared" si="426"/>
        <v>0.44647605759191289</v>
      </c>
      <c r="T160" s="39">
        <f t="shared" si="427"/>
        <v>464.47035911</v>
      </c>
      <c r="U160" s="40">
        <f t="shared" si="428"/>
        <v>0.155</v>
      </c>
      <c r="V160" s="35">
        <f>VLOOKUP($B160,REPORTE!$B$3:$AS$200,11,FALSE)/1000000</f>
        <v>0</v>
      </c>
      <c r="W160" s="36">
        <f t="shared" si="429"/>
        <v>0</v>
      </c>
      <c r="X160" s="145">
        <f t="shared" si="430"/>
        <v>0</v>
      </c>
      <c r="Z160" s="35">
        <f>VLOOKUP($B160,REPORTE!$B$3:$AS$200,8,FALSE)/1000000</f>
        <v>441.645128</v>
      </c>
      <c r="AA160" s="36">
        <f t="shared" si="431"/>
        <v>0.14738291367218953</v>
      </c>
      <c r="AB160" s="60">
        <f t="shared" si="432"/>
        <v>0.42105150207727565</v>
      </c>
      <c r="AC160" s="35">
        <f t="shared" si="433"/>
        <v>2554.9378339999998</v>
      </c>
      <c r="AD160" s="35">
        <f>VLOOKUP($B160,REPORTE!$B$3:$AS$200,10,FALSE)/1000000</f>
        <v>216.76031699999999</v>
      </c>
      <c r="AE160" s="36">
        <f t="shared" si="434"/>
        <v>7.2335830427110323E-2</v>
      </c>
      <c r="AF160" s="127">
        <f t="shared" si="435"/>
        <v>0.44647605759191289</v>
      </c>
    </row>
    <row r="161" spans="1:32" s="41" customFormat="1" ht="20.25" customHeight="1">
      <c r="A161" s="38" t="s">
        <v>37</v>
      </c>
      <c r="B161" s="34" t="s">
        <v>37</v>
      </c>
      <c r="C161" s="35">
        <f>VLOOKUP(B161,REPORTE!$B$3:$AS$200,2,FALSE)/1000000</f>
        <v>3211.5655860000002</v>
      </c>
      <c r="D161" s="35">
        <f>VLOOKUP(B161,REPORTE!$B$3:$AS$200,3,FALSE)/1000000</f>
        <v>0</v>
      </c>
      <c r="E161" s="35">
        <f>VLOOKUP(B161,REPORTE!$B$3:$AS$200,4,FALSE)/1000000</f>
        <v>0</v>
      </c>
      <c r="F161" s="35">
        <f>VLOOKUP(B161,REPORTE!$B$3:$AS$200,5,FALSE)/1000000</f>
        <v>3211.5655860000002</v>
      </c>
      <c r="G161" s="35">
        <f>(VLOOKUP(B161,REPORTE!$B$3:$AS$200,6,FALSE)/1000000)</f>
        <v>0</v>
      </c>
      <c r="H161" s="35">
        <f t="shared" si="417"/>
        <v>3211.5655860000002</v>
      </c>
      <c r="I161" s="35">
        <f t="shared" si="418"/>
        <v>1124.1615127337616</v>
      </c>
      <c r="J161" s="36">
        <f t="shared" si="419"/>
        <v>0.3500353589645675</v>
      </c>
      <c r="K161" s="35">
        <f>VLOOKUP($B161,REPORTE!$B$3:$AS$200,8,FALSE)/1000000</f>
        <v>824.75946003999991</v>
      </c>
      <c r="L161" s="36">
        <f t="shared" si="420"/>
        <v>0.25680915987994396</v>
      </c>
      <c r="M161" s="60">
        <f t="shared" si="421"/>
        <v>0.73366633770829881</v>
      </c>
      <c r="N161" s="35">
        <f t="shared" si="422"/>
        <v>2386.8061259600004</v>
      </c>
      <c r="O161" s="35">
        <f t="shared" si="423"/>
        <v>520.32188441955805</v>
      </c>
      <c r="P161" s="36">
        <f t="shared" si="424"/>
        <v>0.1620150267793902</v>
      </c>
      <c r="Q161" s="35">
        <f>VLOOKUP($B161,REPORTE!$B$3:$AS$200,10,FALSE)/1000000</f>
        <v>821.19017004</v>
      </c>
      <c r="R161" s="36">
        <f t="shared" si="425"/>
        <v>0.25569777357802337</v>
      </c>
      <c r="S161" s="60">
        <f t="shared" si="426"/>
        <v>1.5782349246295373</v>
      </c>
      <c r="T161" s="39">
        <f t="shared" si="427"/>
        <v>497.79266583000003</v>
      </c>
      <c r="U161" s="40">
        <f t="shared" si="428"/>
        <v>0.155</v>
      </c>
      <c r="V161" s="35">
        <f>VLOOKUP($B161,REPORTE!$B$3:$AS$200,11,FALSE)/1000000</f>
        <v>821.19017004</v>
      </c>
      <c r="W161" s="36">
        <f t="shared" si="429"/>
        <v>0.25569777357802337</v>
      </c>
      <c r="X161" s="145">
        <f t="shared" si="430"/>
        <v>1.6496630553420863</v>
      </c>
      <c r="Z161" s="35">
        <f>VLOOKUP($B161,REPORTE!$B$3:$AS$200,8,FALSE)/1000000</f>
        <v>824.75946003999991</v>
      </c>
      <c r="AA161" s="36">
        <f t="shared" si="431"/>
        <v>0.25680915987994396</v>
      </c>
      <c r="AB161" s="60">
        <f t="shared" si="432"/>
        <v>0.73366633770829881</v>
      </c>
      <c r="AC161" s="35">
        <f t="shared" si="433"/>
        <v>2386.8061259600004</v>
      </c>
      <c r="AD161" s="35">
        <f>VLOOKUP($B161,REPORTE!$B$3:$AS$200,10,FALSE)/1000000</f>
        <v>821.19017004</v>
      </c>
      <c r="AE161" s="36">
        <f t="shared" si="434"/>
        <v>0.25569777357802337</v>
      </c>
      <c r="AF161" s="127">
        <f t="shared" si="435"/>
        <v>1.5782349246295373</v>
      </c>
    </row>
    <row r="162" spans="1:32" s="41" customFormat="1" ht="20.25" customHeight="1">
      <c r="A162" s="38" t="s">
        <v>38</v>
      </c>
      <c r="B162" s="34" t="s">
        <v>38</v>
      </c>
      <c r="C162" s="35">
        <f>VLOOKUP(B162,REPORTE!$B$3:$AS$200,2,FALSE)/1000000</f>
        <v>3691.19011</v>
      </c>
      <c r="D162" s="35">
        <f>VLOOKUP(B162,REPORTE!$B$3:$AS$200,3,FALSE)/1000000</f>
        <v>0</v>
      </c>
      <c r="E162" s="35">
        <f>VLOOKUP(B162,REPORTE!$B$3:$AS$200,4,FALSE)/1000000</f>
        <v>0</v>
      </c>
      <c r="F162" s="35">
        <f>VLOOKUP(B162,REPORTE!$B$3:$AS$200,5,FALSE)/1000000</f>
        <v>3691.19011</v>
      </c>
      <c r="G162" s="35">
        <f>(VLOOKUP(B162,REPORTE!$B$3:$AS$200,6,FALSE)/1000000)</f>
        <v>0</v>
      </c>
      <c r="H162" s="35">
        <f t="shared" si="417"/>
        <v>3691.19011</v>
      </c>
      <c r="I162" s="35">
        <f t="shared" si="418"/>
        <v>1292.0470551603114</v>
      </c>
      <c r="J162" s="36">
        <f t="shared" si="419"/>
        <v>0.3500353589645675</v>
      </c>
      <c r="K162" s="35">
        <f>VLOOKUP($B162,REPORTE!$B$3:$AS$200,8,FALSE)/1000000</f>
        <v>763</v>
      </c>
      <c r="L162" s="36">
        <f t="shared" si="420"/>
        <v>0.20670839953025341</v>
      </c>
      <c r="M162" s="60">
        <f t="shared" si="421"/>
        <v>0.59053576799130614</v>
      </c>
      <c r="N162" s="35">
        <f t="shared" si="422"/>
        <v>2928.19011</v>
      </c>
      <c r="O162" s="35">
        <f t="shared" si="423"/>
        <v>598.02826451947021</v>
      </c>
      <c r="P162" s="36">
        <f t="shared" si="424"/>
        <v>0.1620150267793902</v>
      </c>
      <c r="Q162" s="35">
        <f>VLOOKUP($B162,REPORTE!$B$3:$AS$200,10,FALSE)/1000000</f>
        <v>763</v>
      </c>
      <c r="R162" s="36">
        <f t="shared" si="425"/>
        <v>0.20670839953025341</v>
      </c>
      <c r="S162" s="60">
        <f t="shared" si="426"/>
        <v>1.2758594288400205</v>
      </c>
      <c r="T162" s="39">
        <f t="shared" si="427"/>
        <v>572.13446705000001</v>
      </c>
      <c r="U162" s="40">
        <f t="shared" si="428"/>
        <v>0.155</v>
      </c>
      <c r="V162" s="35">
        <f>VLOOKUP($B162,REPORTE!$B$3:$AS$200,11,FALSE)/1000000</f>
        <v>763</v>
      </c>
      <c r="W162" s="36">
        <f t="shared" si="429"/>
        <v>0.20670839953025341</v>
      </c>
      <c r="X162" s="145">
        <f t="shared" si="430"/>
        <v>1.3336025776145382</v>
      </c>
      <c r="Z162" s="35">
        <f>VLOOKUP($B162,REPORTE!$B$3:$AS$200,8,FALSE)/1000000</f>
        <v>763</v>
      </c>
      <c r="AA162" s="36">
        <f t="shared" si="431"/>
        <v>0.20670839953025341</v>
      </c>
      <c r="AB162" s="60">
        <f t="shared" si="432"/>
        <v>0.59053576799130614</v>
      </c>
      <c r="AC162" s="35">
        <f t="shared" si="433"/>
        <v>2928.19011</v>
      </c>
      <c r="AD162" s="35">
        <f>VLOOKUP($B162,REPORTE!$B$3:$AS$200,10,FALSE)/1000000</f>
        <v>763</v>
      </c>
      <c r="AE162" s="36">
        <f t="shared" si="434"/>
        <v>0.20670839953025341</v>
      </c>
      <c r="AF162" s="127">
        <f t="shared" si="435"/>
        <v>1.2758594288400205</v>
      </c>
    </row>
    <row r="163" spans="1:32" s="41" customFormat="1" ht="20.25" customHeight="1">
      <c r="A163" s="38" t="s">
        <v>39</v>
      </c>
      <c r="B163" s="34" t="s">
        <v>39</v>
      </c>
      <c r="C163" s="35">
        <f>VLOOKUP(B163,REPORTE!$B$3:$AS$200,2,FALSE)/1000000</f>
        <v>4447.7055760000003</v>
      </c>
      <c r="D163" s="35">
        <f>VLOOKUP(B163,REPORTE!$B$3:$AS$200,3,FALSE)/1000000</f>
        <v>0</v>
      </c>
      <c r="E163" s="35">
        <f>VLOOKUP(B163,REPORTE!$B$3:$AS$200,4,FALSE)/1000000</f>
        <v>0</v>
      </c>
      <c r="F163" s="35">
        <f>VLOOKUP(B163,REPORTE!$B$3:$AS$200,5,FALSE)/1000000</f>
        <v>4447.7055760000003</v>
      </c>
      <c r="G163" s="35">
        <f>(VLOOKUP(B163,REPORTE!$B$3:$AS$200,6,FALSE)/1000000)</f>
        <v>0</v>
      </c>
      <c r="H163" s="35">
        <f t="shared" si="417"/>
        <v>4447.7055760000003</v>
      </c>
      <c r="I163" s="35">
        <f t="shared" si="418"/>
        <v>1556.8542178638686</v>
      </c>
      <c r="J163" s="36">
        <f t="shared" si="419"/>
        <v>0.3500353589645675</v>
      </c>
      <c r="K163" s="35">
        <f>VLOOKUP($B163,REPORTE!$B$3:$AS$200,8,FALSE)/1000000</f>
        <v>869.44315800000004</v>
      </c>
      <c r="L163" s="36">
        <f t="shared" si="420"/>
        <v>0.1954812752650604</v>
      </c>
      <c r="M163" s="60">
        <f t="shared" si="421"/>
        <v>0.55846151041228975</v>
      </c>
      <c r="N163" s="35">
        <f t="shared" si="422"/>
        <v>3578.2624180000003</v>
      </c>
      <c r="O163" s="35">
        <f t="shared" si="423"/>
        <v>720.59513800248317</v>
      </c>
      <c r="P163" s="36">
        <f t="shared" si="424"/>
        <v>0.1620150267793902</v>
      </c>
      <c r="Q163" s="35">
        <f>VLOOKUP($B163,REPORTE!$B$3:$AS$200,10,FALSE)/1000000</f>
        <v>830.44315800000004</v>
      </c>
      <c r="R163" s="36">
        <f t="shared" si="425"/>
        <v>0.18671270924071615</v>
      </c>
      <c r="S163" s="60">
        <f t="shared" si="426"/>
        <v>1.1524406899302979</v>
      </c>
      <c r="T163" s="39">
        <f t="shared" si="427"/>
        <v>689.39436427999999</v>
      </c>
      <c r="U163" s="40">
        <f t="shared" si="428"/>
        <v>0.155</v>
      </c>
      <c r="V163" s="35">
        <f>VLOOKUP($B163,REPORTE!$B$3:$AS$200,11,FALSE)/1000000</f>
        <v>830.44315800000004</v>
      </c>
      <c r="W163" s="36">
        <f t="shared" si="429"/>
        <v>0.18671270924071615</v>
      </c>
      <c r="X163" s="145">
        <f t="shared" si="430"/>
        <v>1.2045981241336525</v>
      </c>
      <c r="Z163" s="35">
        <f>VLOOKUP($B163,REPORTE!$B$3:$AS$200,8,FALSE)/1000000</f>
        <v>869.44315800000004</v>
      </c>
      <c r="AA163" s="36">
        <f t="shared" si="431"/>
        <v>0.1954812752650604</v>
      </c>
      <c r="AB163" s="60">
        <f t="shared" si="432"/>
        <v>0.55846151041228975</v>
      </c>
      <c r="AC163" s="35">
        <f t="shared" si="433"/>
        <v>3578.2624180000003</v>
      </c>
      <c r="AD163" s="35">
        <f>VLOOKUP($B163,REPORTE!$B$3:$AS$200,10,FALSE)/1000000</f>
        <v>830.44315800000004</v>
      </c>
      <c r="AE163" s="36">
        <f t="shared" si="434"/>
        <v>0.18671270924071615</v>
      </c>
      <c r="AF163" s="127">
        <f t="shared" si="435"/>
        <v>1.1524406899302979</v>
      </c>
    </row>
    <row r="164" spans="1:32" s="41" customFormat="1" ht="20.25" customHeight="1">
      <c r="A164" s="38" t="s">
        <v>40</v>
      </c>
      <c r="B164" s="34" t="s">
        <v>40</v>
      </c>
      <c r="C164" s="35">
        <f>VLOOKUP(B164,REPORTE!$B$3:$AS$200,2,FALSE)/1000000</f>
        <v>6832.0640880000001</v>
      </c>
      <c r="D164" s="35">
        <f>VLOOKUP(B164,REPORTE!$B$3:$AS$200,3,FALSE)/1000000</f>
        <v>0</v>
      </c>
      <c r="E164" s="35">
        <f>VLOOKUP(B164,REPORTE!$B$3:$AS$200,4,FALSE)/1000000</f>
        <v>0</v>
      </c>
      <c r="F164" s="35">
        <f>VLOOKUP(B164,REPORTE!$B$3:$AS$200,5,FALSE)/1000000</f>
        <v>6832.0640880000001</v>
      </c>
      <c r="G164" s="35">
        <f>(VLOOKUP(B164,REPORTE!$B$3:$AS$200,6,FALSE)/1000000)</f>
        <v>0</v>
      </c>
      <c r="H164" s="35">
        <f t="shared" si="417"/>
        <v>6832.0640880000001</v>
      </c>
      <c r="I164" s="35">
        <f t="shared" si="418"/>
        <v>2391.4640055120103</v>
      </c>
      <c r="J164" s="36">
        <f t="shared" si="419"/>
        <v>0.3500353589645675</v>
      </c>
      <c r="K164" s="35">
        <f>VLOOKUP($B164,REPORTE!$B$3:$AS$200,8,FALSE)/1000000</f>
        <v>1900</v>
      </c>
      <c r="L164" s="36">
        <f t="shared" si="420"/>
        <v>0.27810043575809035</v>
      </c>
      <c r="M164" s="60">
        <f t="shared" si="421"/>
        <v>0.79449240951180933</v>
      </c>
      <c r="N164" s="35">
        <f t="shared" si="422"/>
        <v>4932.0640880000001</v>
      </c>
      <c r="O164" s="35">
        <f t="shared" si="423"/>
        <v>1106.8970461758302</v>
      </c>
      <c r="P164" s="36">
        <f t="shared" si="424"/>
        <v>0.1620150267793902</v>
      </c>
      <c r="Q164" s="35">
        <f>VLOOKUP($B164,REPORTE!$B$3:$AS$200,10,FALSE)/1000000</f>
        <v>1900</v>
      </c>
      <c r="R164" s="36">
        <f t="shared" si="425"/>
        <v>0.27810043575809035</v>
      </c>
      <c r="S164" s="60">
        <f t="shared" si="426"/>
        <v>1.7165101366601587</v>
      </c>
      <c r="T164" s="39">
        <f t="shared" si="427"/>
        <v>1058.9699336399999</v>
      </c>
      <c r="U164" s="40">
        <f t="shared" si="428"/>
        <v>0.155</v>
      </c>
      <c r="V164" s="35">
        <f>VLOOKUP($B164,REPORTE!$B$3:$AS$200,11,FALSE)/1000000</f>
        <v>1900</v>
      </c>
      <c r="W164" s="36">
        <f t="shared" si="429"/>
        <v>0.27810043575809035</v>
      </c>
      <c r="X164" s="145">
        <f t="shared" si="430"/>
        <v>1.7941963597296151</v>
      </c>
      <c r="Z164" s="35">
        <f>VLOOKUP($B164,REPORTE!$B$3:$AS$200,8,FALSE)/1000000</f>
        <v>1900</v>
      </c>
      <c r="AA164" s="36">
        <f t="shared" si="431"/>
        <v>0.27810043575809035</v>
      </c>
      <c r="AB164" s="60">
        <f t="shared" si="432"/>
        <v>0.79449240951180933</v>
      </c>
      <c r="AC164" s="35">
        <f t="shared" si="433"/>
        <v>4932.0640880000001</v>
      </c>
      <c r="AD164" s="35">
        <f>VLOOKUP($B164,REPORTE!$B$3:$AS$200,10,FALSE)/1000000</f>
        <v>1900</v>
      </c>
      <c r="AE164" s="36">
        <f t="shared" si="434"/>
        <v>0.27810043575809035</v>
      </c>
      <c r="AF164" s="127">
        <f t="shared" si="435"/>
        <v>1.7165101366601587</v>
      </c>
    </row>
    <row r="165" spans="1:32" s="41" customFormat="1" ht="20.25" customHeight="1">
      <c r="A165" s="38" t="s">
        <v>41</v>
      </c>
      <c r="B165" s="34" t="s">
        <v>41</v>
      </c>
      <c r="C165" s="35">
        <f>VLOOKUP(B165,REPORTE!$B$3:$AS$200,2,FALSE)/1000000</f>
        <v>2417</v>
      </c>
      <c r="D165" s="35">
        <f>VLOOKUP(B165,REPORTE!$B$3:$AS$200,3,FALSE)/1000000</f>
        <v>0</v>
      </c>
      <c r="E165" s="35">
        <f>VLOOKUP(B165,REPORTE!$B$3:$AS$200,4,FALSE)/1000000</f>
        <v>0</v>
      </c>
      <c r="F165" s="35">
        <f>VLOOKUP(B165,REPORTE!$B$3:$AS$200,5,FALSE)/1000000</f>
        <v>2417</v>
      </c>
      <c r="G165" s="35">
        <f>(VLOOKUP(B165,REPORTE!$B$3:$AS$200,6,FALSE)/1000000)</f>
        <v>0</v>
      </c>
      <c r="H165" s="35">
        <f t="shared" si="417"/>
        <v>2417</v>
      </c>
      <c r="I165" s="35">
        <f t="shared" si="418"/>
        <v>846.0354626173596</v>
      </c>
      <c r="J165" s="36">
        <f t="shared" si="419"/>
        <v>0.3500353589645675</v>
      </c>
      <c r="K165" s="35">
        <f>VLOOKUP($B165,REPORTE!$B$3:$AS$200,8,FALSE)/1000000</f>
        <v>547.47520299999996</v>
      </c>
      <c r="L165" s="36">
        <f t="shared" si="420"/>
        <v>0.2265102205213074</v>
      </c>
      <c r="M165" s="60">
        <f t="shared" si="421"/>
        <v>0.64710668428281848</v>
      </c>
      <c r="N165" s="35">
        <f t="shared" si="422"/>
        <v>1869.524797</v>
      </c>
      <c r="O165" s="35">
        <f t="shared" si="423"/>
        <v>391.59031972578612</v>
      </c>
      <c r="P165" s="36">
        <f t="shared" si="424"/>
        <v>0.1620150267793902</v>
      </c>
      <c r="Q165" s="35">
        <f>VLOOKUP($B165,REPORTE!$B$3:$AS$200,10,FALSE)/1000000</f>
        <v>547.47520299999996</v>
      </c>
      <c r="R165" s="36">
        <f t="shared" si="425"/>
        <v>0.2265102205213074</v>
      </c>
      <c r="S165" s="60">
        <f t="shared" si="426"/>
        <v>1.398081554680344</v>
      </c>
      <c r="T165" s="39">
        <f t="shared" si="427"/>
        <v>374.63499999999999</v>
      </c>
      <c r="U165" s="40">
        <f t="shared" si="428"/>
        <v>0.155</v>
      </c>
      <c r="V165" s="35">
        <f>VLOOKUP($B165,REPORTE!$B$3:$AS$200,11,FALSE)/1000000</f>
        <v>547.47520299999996</v>
      </c>
      <c r="W165" s="36">
        <f t="shared" si="429"/>
        <v>0.2265102205213074</v>
      </c>
      <c r="X165" s="145">
        <f t="shared" si="430"/>
        <v>1.4613562614277897</v>
      </c>
      <c r="Z165" s="35">
        <f>VLOOKUP($B165,REPORTE!$B$3:$AS$200,8,FALSE)/1000000</f>
        <v>547.47520299999996</v>
      </c>
      <c r="AA165" s="36">
        <f t="shared" si="431"/>
        <v>0.2265102205213074</v>
      </c>
      <c r="AB165" s="60">
        <f t="shared" si="432"/>
        <v>0.64710668428281848</v>
      </c>
      <c r="AC165" s="35">
        <f t="shared" si="433"/>
        <v>1869.524797</v>
      </c>
      <c r="AD165" s="35">
        <f>VLOOKUP($B165,REPORTE!$B$3:$AS$200,10,FALSE)/1000000</f>
        <v>547.47520299999996</v>
      </c>
      <c r="AE165" s="36">
        <f t="shared" si="434"/>
        <v>0.2265102205213074</v>
      </c>
      <c r="AF165" s="127">
        <f t="shared" si="435"/>
        <v>1.398081554680344</v>
      </c>
    </row>
    <row r="166" spans="1:32" s="41" customFormat="1" ht="20.25" customHeight="1">
      <c r="A166" s="38" t="s">
        <v>42</v>
      </c>
      <c r="B166" s="34" t="s">
        <v>42</v>
      </c>
      <c r="C166" s="35">
        <f>VLOOKUP(B166,REPORTE!$B$3:$AS$200,2,FALSE)/1000000</f>
        <v>5911.8941029999996</v>
      </c>
      <c r="D166" s="35">
        <f>VLOOKUP(B166,REPORTE!$B$3:$AS$200,3,FALSE)/1000000</f>
        <v>0</v>
      </c>
      <c r="E166" s="35">
        <f>VLOOKUP(B166,REPORTE!$B$3:$AS$200,4,FALSE)/1000000</f>
        <v>0</v>
      </c>
      <c r="F166" s="35">
        <f>VLOOKUP(B166,REPORTE!$B$3:$AS$200,5,FALSE)/1000000</f>
        <v>5911.8941029999996</v>
      </c>
      <c r="G166" s="35">
        <f>(VLOOKUP(B166,REPORTE!$B$3:$AS$200,6,FALSE)/1000000)</f>
        <v>0</v>
      </c>
      <c r="H166" s="35">
        <f t="shared" si="417"/>
        <v>5911.8941029999996</v>
      </c>
      <c r="I166" s="35">
        <f t="shared" si="418"/>
        <v>2069.3719745041149</v>
      </c>
      <c r="J166" s="36">
        <f t="shared" si="419"/>
        <v>0.3500353589645675</v>
      </c>
      <c r="K166" s="35">
        <f>VLOOKUP($B166,REPORTE!$B$3:$AS$200,8,FALSE)/1000000</f>
        <v>0</v>
      </c>
      <c r="L166" s="36">
        <f t="shared" si="420"/>
        <v>0</v>
      </c>
      <c r="M166" s="60">
        <f t="shared" si="421"/>
        <v>0</v>
      </c>
      <c r="N166" s="35">
        <f t="shared" si="422"/>
        <v>5911.8941029999996</v>
      </c>
      <c r="O166" s="35">
        <f t="shared" si="423"/>
        <v>957.81568141446394</v>
      </c>
      <c r="P166" s="36">
        <f t="shared" si="424"/>
        <v>0.1620150267793902</v>
      </c>
      <c r="Q166" s="35">
        <f>VLOOKUP($B166,REPORTE!$B$3:$AS$200,10,FALSE)/1000000</f>
        <v>0</v>
      </c>
      <c r="R166" s="36">
        <f t="shared" si="425"/>
        <v>0</v>
      </c>
      <c r="S166" s="60">
        <f t="shared" si="426"/>
        <v>0</v>
      </c>
      <c r="T166" s="39">
        <f t="shared" si="427"/>
        <v>916.34358596499999</v>
      </c>
      <c r="U166" s="40">
        <f t="shared" si="428"/>
        <v>0.155</v>
      </c>
      <c r="V166" s="35">
        <f>VLOOKUP($B166,REPORTE!$B$3:$AS$200,11,FALSE)/1000000</f>
        <v>0</v>
      </c>
      <c r="W166" s="36">
        <f t="shared" si="429"/>
        <v>0</v>
      </c>
      <c r="X166" s="145">
        <f t="shared" si="430"/>
        <v>0</v>
      </c>
      <c r="Z166" s="35">
        <f>VLOOKUP($B166,REPORTE!$B$3:$AS$200,8,FALSE)/1000000</f>
        <v>0</v>
      </c>
      <c r="AA166" s="36">
        <f t="shared" si="431"/>
        <v>0</v>
      </c>
      <c r="AB166" s="60">
        <f t="shared" si="432"/>
        <v>0</v>
      </c>
      <c r="AC166" s="35">
        <f t="shared" si="433"/>
        <v>5911.8941029999996</v>
      </c>
      <c r="AD166" s="35">
        <f>VLOOKUP($B166,REPORTE!$B$3:$AS$200,10,FALSE)/1000000</f>
        <v>0</v>
      </c>
      <c r="AE166" s="36">
        <f t="shared" si="434"/>
        <v>0</v>
      </c>
      <c r="AF166" s="127">
        <f t="shared" si="435"/>
        <v>0</v>
      </c>
    </row>
    <row r="167" spans="1:32" s="41" customFormat="1" ht="20.25" customHeight="1">
      <c r="A167" s="38" t="s">
        <v>43</v>
      </c>
      <c r="B167" s="34" t="s">
        <v>43</v>
      </c>
      <c r="C167" s="35">
        <f>VLOOKUP(B167,REPORTE!$B$3:$AS$200,2,FALSE)/1000000</f>
        <v>840.57500000000005</v>
      </c>
      <c r="D167" s="35">
        <f>VLOOKUP(B167,REPORTE!$B$3:$AS$200,3,FALSE)/1000000</f>
        <v>0</v>
      </c>
      <c r="E167" s="35">
        <f>VLOOKUP(B167,REPORTE!$B$3:$AS$200,4,FALSE)/1000000</f>
        <v>0</v>
      </c>
      <c r="F167" s="35">
        <f>VLOOKUP(B167,REPORTE!$B$3:$AS$200,5,FALSE)/1000000</f>
        <v>840.57500000000005</v>
      </c>
      <c r="G167" s="35">
        <f>(VLOOKUP(B167,REPORTE!$B$3:$AS$200,6,FALSE)/1000000)</f>
        <v>0</v>
      </c>
      <c r="H167" s="35">
        <f t="shared" si="417"/>
        <v>840.57500000000005</v>
      </c>
      <c r="I167" s="35">
        <f t="shared" si="418"/>
        <v>294.23097186164136</v>
      </c>
      <c r="J167" s="36">
        <f t="shared" si="419"/>
        <v>0.3500353589645675</v>
      </c>
      <c r="K167" s="35">
        <f>VLOOKUP($B167,REPORTE!$B$3:$AS$200,8,FALSE)/1000000</f>
        <v>103.942155</v>
      </c>
      <c r="L167" s="36">
        <f t="shared" si="420"/>
        <v>0.12365601522767153</v>
      </c>
      <c r="M167" s="60">
        <f t="shared" si="421"/>
        <v>0.35326721161386632</v>
      </c>
      <c r="N167" s="35">
        <f t="shared" si="422"/>
        <v>736.63284500000009</v>
      </c>
      <c r="O167" s="35">
        <f t="shared" si="423"/>
        <v>136.18578113508593</v>
      </c>
      <c r="P167" s="36">
        <f t="shared" si="424"/>
        <v>0.1620150267793902</v>
      </c>
      <c r="Q167" s="35">
        <f>VLOOKUP($B167,REPORTE!$B$3:$AS$200,10,FALSE)/1000000</f>
        <v>100</v>
      </c>
      <c r="R167" s="36">
        <f t="shared" si="425"/>
        <v>0.11896618386223715</v>
      </c>
      <c r="S167" s="60">
        <f t="shared" si="426"/>
        <v>0.73429104834966297</v>
      </c>
      <c r="T167" s="39">
        <f t="shared" si="427"/>
        <v>130.28912500000001</v>
      </c>
      <c r="U167" s="40">
        <f t="shared" si="428"/>
        <v>0.155</v>
      </c>
      <c r="V167" s="35">
        <f>VLOOKUP($B167,REPORTE!$B$3:$AS$200,11,FALSE)/1000000</f>
        <v>100</v>
      </c>
      <c r="W167" s="36">
        <f t="shared" si="429"/>
        <v>0.11896618386223715</v>
      </c>
      <c r="X167" s="145">
        <f t="shared" si="430"/>
        <v>0.76752376685314283</v>
      </c>
      <c r="Z167" s="35">
        <f>VLOOKUP($B167,REPORTE!$B$3:$AS$200,8,FALSE)/1000000</f>
        <v>103.942155</v>
      </c>
      <c r="AA167" s="36">
        <f t="shared" si="431"/>
        <v>0.12365601522767153</v>
      </c>
      <c r="AB167" s="60">
        <f t="shared" si="432"/>
        <v>0.35326721161386632</v>
      </c>
      <c r="AC167" s="35">
        <f t="shared" si="433"/>
        <v>736.63284500000009</v>
      </c>
      <c r="AD167" s="35">
        <f>VLOOKUP($B167,REPORTE!$B$3:$AS$200,10,FALSE)/1000000</f>
        <v>100</v>
      </c>
      <c r="AE167" s="36">
        <f t="shared" si="434"/>
        <v>0.11896618386223715</v>
      </c>
      <c r="AF167" s="127">
        <f t="shared" si="435"/>
        <v>0.73429104834966297</v>
      </c>
    </row>
    <row r="168" spans="1:32" s="41" customFormat="1" ht="20.25" customHeight="1">
      <c r="A168" s="38" t="s">
        <v>44</v>
      </c>
      <c r="B168" s="34" t="s">
        <v>44</v>
      </c>
      <c r="C168" s="35">
        <f>VLOOKUP(B168,REPORTE!$B$3:$AS$200,2,FALSE)/1000000</f>
        <v>2507.575906</v>
      </c>
      <c r="D168" s="35">
        <f>VLOOKUP(B168,REPORTE!$B$3:$AS$200,3,FALSE)/1000000</f>
        <v>0</v>
      </c>
      <c r="E168" s="35">
        <f>VLOOKUP(B168,REPORTE!$B$3:$AS$200,4,FALSE)/1000000</f>
        <v>0</v>
      </c>
      <c r="F168" s="35">
        <f>VLOOKUP(B168,REPORTE!$B$3:$AS$200,5,FALSE)/1000000</f>
        <v>2507.575906</v>
      </c>
      <c r="G168" s="35">
        <f>(VLOOKUP(B168,REPORTE!$B$3:$AS$200,6,FALSE)/1000000)</f>
        <v>0</v>
      </c>
      <c r="H168" s="35">
        <f t="shared" si="417"/>
        <v>2507.575906</v>
      </c>
      <c r="I168" s="35">
        <f t="shared" si="418"/>
        <v>877.7402323876106</v>
      </c>
      <c r="J168" s="36">
        <f t="shared" si="419"/>
        <v>0.3500353589645675</v>
      </c>
      <c r="K168" s="35">
        <f>VLOOKUP($B168,REPORTE!$B$3:$AS$200,8,FALSE)/1000000</f>
        <v>814.70693200000005</v>
      </c>
      <c r="L168" s="36">
        <f t="shared" si="420"/>
        <v>0.32489821347007314</v>
      </c>
      <c r="M168" s="60">
        <f t="shared" si="421"/>
        <v>0.92818683927003254</v>
      </c>
      <c r="N168" s="35">
        <f t="shared" si="422"/>
        <v>1692.868974</v>
      </c>
      <c r="O168" s="35">
        <f t="shared" si="423"/>
        <v>406.26497756194362</v>
      </c>
      <c r="P168" s="36">
        <f t="shared" si="424"/>
        <v>0.1620150267793902</v>
      </c>
      <c r="Q168" s="35">
        <f>VLOOKUP($B168,REPORTE!$B$3:$AS$200,10,FALSE)/1000000</f>
        <v>746.44989799999996</v>
      </c>
      <c r="R168" s="36">
        <f t="shared" si="425"/>
        <v>0.29767788732294509</v>
      </c>
      <c r="S168" s="60">
        <f t="shared" si="426"/>
        <v>1.8373473944999061</v>
      </c>
      <c r="T168" s="39">
        <f t="shared" si="427"/>
        <v>388.67426542999999</v>
      </c>
      <c r="U168" s="40">
        <f t="shared" si="428"/>
        <v>0.155</v>
      </c>
      <c r="V168" s="35">
        <f>VLOOKUP($B168,REPORTE!$B$3:$AS$200,11,FALSE)/1000000</f>
        <v>697.81284700000003</v>
      </c>
      <c r="W168" s="36">
        <f t="shared" si="429"/>
        <v>0.27828184396345051</v>
      </c>
      <c r="X168" s="145">
        <f t="shared" si="430"/>
        <v>1.7953667352480678</v>
      </c>
      <c r="Z168" s="35">
        <f>VLOOKUP($B168,REPORTE!$B$3:$AS$200,8,FALSE)/1000000</f>
        <v>814.70693200000005</v>
      </c>
      <c r="AA168" s="36">
        <f t="shared" si="431"/>
        <v>0.32489821347007314</v>
      </c>
      <c r="AB168" s="60">
        <f t="shared" si="432"/>
        <v>0.92818683927003254</v>
      </c>
      <c r="AC168" s="35">
        <f t="shared" si="433"/>
        <v>1692.868974</v>
      </c>
      <c r="AD168" s="35">
        <f>VLOOKUP($B168,REPORTE!$B$3:$AS$200,10,FALSE)/1000000</f>
        <v>746.44989799999996</v>
      </c>
      <c r="AE168" s="36">
        <f t="shared" si="434"/>
        <v>0.29767788732294509</v>
      </c>
      <c r="AF168" s="127">
        <f t="shared" si="435"/>
        <v>1.8373473944999061</v>
      </c>
    </row>
    <row r="169" spans="1:32" s="41" customFormat="1" ht="20.25" customHeight="1">
      <c r="A169" s="38" t="s">
        <v>45</v>
      </c>
      <c r="B169" s="34" t="s">
        <v>45</v>
      </c>
      <c r="C169" s="35">
        <f>VLOOKUP(B169,REPORTE!$B$3:$AS$200,2,FALSE)/1000000</f>
        <v>2437.6217430000002</v>
      </c>
      <c r="D169" s="35">
        <f>VLOOKUP(B169,REPORTE!$B$3:$AS$200,3,FALSE)/1000000</f>
        <v>0</v>
      </c>
      <c r="E169" s="35">
        <f>VLOOKUP(B169,REPORTE!$B$3:$AS$200,4,FALSE)/1000000</f>
        <v>0</v>
      </c>
      <c r="F169" s="35">
        <f>VLOOKUP(B169,REPORTE!$B$3:$AS$200,5,FALSE)/1000000</f>
        <v>2437.6217430000002</v>
      </c>
      <c r="G169" s="35">
        <f>(VLOOKUP(B169,REPORTE!$B$3:$AS$200,6,FALSE)/1000000)</f>
        <v>0</v>
      </c>
      <c r="H169" s="35">
        <f t="shared" si="417"/>
        <v>2437.6217430000002</v>
      </c>
      <c r="I169" s="35">
        <f t="shared" si="418"/>
        <v>853.25380183083973</v>
      </c>
      <c r="J169" s="36">
        <f t="shared" si="419"/>
        <v>0.3500353589645675</v>
      </c>
      <c r="K169" s="35">
        <f>VLOOKUP($B169,REPORTE!$B$3:$AS$200,8,FALSE)/1000000</f>
        <v>619.01555499999995</v>
      </c>
      <c r="L169" s="36">
        <f t="shared" si="420"/>
        <v>0.25394241611833207</v>
      </c>
      <c r="M169" s="60">
        <f t="shared" si="421"/>
        <v>0.72547646863309467</v>
      </c>
      <c r="N169" s="35">
        <f t="shared" si="422"/>
        <v>1818.6061880000002</v>
      </c>
      <c r="O169" s="35">
        <f t="shared" si="423"/>
        <v>394.93135197016886</v>
      </c>
      <c r="P169" s="36">
        <f t="shared" si="424"/>
        <v>0.1620150267793902</v>
      </c>
      <c r="Q169" s="35">
        <f>VLOOKUP($B169,REPORTE!$B$3:$AS$200,10,FALSE)/1000000</f>
        <v>619.01555499999995</v>
      </c>
      <c r="R169" s="36">
        <f t="shared" si="425"/>
        <v>0.25394241611833207</v>
      </c>
      <c r="S169" s="60">
        <f t="shared" si="426"/>
        <v>1.5674003897435758</v>
      </c>
      <c r="T169" s="39">
        <f t="shared" si="427"/>
        <v>377.83137016500001</v>
      </c>
      <c r="U169" s="40">
        <f t="shared" si="428"/>
        <v>0.155</v>
      </c>
      <c r="V169" s="35">
        <f>VLOOKUP($B169,REPORTE!$B$3:$AS$200,11,FALSE)/1000000</f>
        <v>619.01555499999995</v>
      </c>
      <c r="W169" s="36">
        <f t="shared" si="429"/>
        <v>0.25394241611833207</v>
      </c>
      <c r="X169" s="145">
        <f t="shared" si="430"/>
        <v>1.6383381685053682</v>
      </c>
      <c r="Z169" s="35">
        <f>VLOOKUP($B169,REPORTE!$B$3:$AS$200,8,FALSE)/1000000</f>
        <v>619.01555499999995</v>
      </c>
      <c r="AA169" s="36">
        <f t="shared" si="431"/>
        <v>0.25394241611833207</v>
      </c>
      <c r="AB169" s="60">
        <f t="shared" si="432"/>
        <v>0.72547646863309467</v>
      </c>
      <c r="AC169" s="35">
        <f t="shared" si="433"/>
        <v>1818.6061880000002</v>
      </c>
      <c r="AD169" s="35">
        <f>VLOOKUP($B169,REPORTE!$B$3:$AS$200,10,FALSE)/1000000</f>
        <v>619.01555499999995</v>
      </c>
      <c r="AE169" s="36">
        <f t="shared" si="434"/>
        <v>0.25394241611833207</v>
      </c>
      <c r="AF169" s="127">
        <f t="shared" si="435"/>
        <v>1.5674003897435758</v>
      </c>
    </row>
    <row r="170" spans="1:32" s="41" customFormat="1" ht="20.25" customHeight="1">
      <c r="A170" s="38" t="s">
        <v>46</v>
      </c>
      <c r="B170" s="34" t="s">
        <v>46</v>
      </c>
      <c r="C170" s="35">
        <f>VLOOKUP(B170,REPORTE!$B$3:$AS$200,2,FALSE)/1000000</f>
        <v>5196.0489399999997</v>
      </c>
      <c r="D170" s="35">
        <f>VLOOKUP(B170,REPORTE!$B$3:$AS$200,3,FALSE)/1000000</f>
        <v>0</v>
      </c>
      <c r="E170" s="35">
        <f>VLOOKUP(B170,REPORTE!$B$3:$AS$200,4,FALSE)/1000000</f>
        <v>0</v>
      </c>
      <c r="F170" s="35">
        <f>VLOOKUP(B170,REPORTE!$B$3:$AS$200,5,FALSE)/1000000</f>
        <v>5196.0489399999997</v>
      </c>
      <c r="G170" s="35">
        <f>(VLOOKUP(B170,REPORTE!$B$3:$AS$200,6,FALSE)/1000000)</f>
        <v>0</v>
      </c>
      <c r="H170" s="35">
        <f t="shared" si="417"/>
        <v>5196.0489399999997</v>
      </c>
      <c r="I170" s="35">
        <f t="shared" si="418"/>
        <v>1818.8008559103603</v>
      </c>
      <c r="J170" s="36">
        <f t="shared" si="419"/>
        <v>0.3500353589645675</v>
      </c>
      <c r="K170" s="35">
        <f>VLOOKUP($B170,REPORTE!$B$3:$AS$200,8,FALSE)/1000000</f>
        <v>1163.017073</v>
      </c>
      <c r="L170" s="36">
        <f t="shared" si="420"/>
        <v>0.22382719763220707</v>
      </c>
      <c r="M170" s="60">
        <f t="shared" si="421"/>
        <v>0.63944167896153625</v>
      </c>
      <c r="N170" s="35">
        <f t="shared" si="422"/>
        <v>4033.0318669999997</v>
      </c>
      <c r="O170" s="35">
        <f t="shared" si="423"/>
        <v>841.83800816112205</v>
      </c>
      <c r="P170" s="36">
        <f t="shared" si="424"/>
        <v>0.1620150267793902</v>
      </c>
      <c r="Q170" s="35">
        <f>VLOOKUP($B170,REPORTE!$B$3:$AS$200,10,FALSE)/1000000</f>
        <v>1163.017073</v>
      </c>
      <c r="R170" s="36">
        <f t="shared" si="425"/>
        <v>0.22382719763220707</v>
      </c>
      <c r="S170" s="60">
        <f t="shared" si="426"/>
        <v>1.381521221096264</v>
      </c>
      <c r="T170" s="39">
        <f t="shared" si="427"/>
        <v>805.38758569999993</v>
      </c>
      <c r="U170" s="40">
        <f t="shared" si="428"/>
        <v>0.155</v>
      </c>
      <c r="V170" s="35">
        <f>VLOOKUP($B170,REPORTE!$B$3:$AS$200,11,FALSE)/1000000</f>
        <v>1163.017073</v>
      </c>
      <c r="W170" s="36">
        <f t="shared" si="429"/>
        <v>0.22382719763220707</v>
      </c>
      <c r="X170" s="145">
        <f t="shared" si="430"/>
        <v>1.4440464363368197</v>
      </c>
      <c r="Z170" s="35">
        <f>VLOOKUP($B170,REPORTE!$B$3:$AS$200,8,FALSE)/1000000</f>
        <v>1163.017073</v>
      </c>
      <c r="AA170" s="36">
        <f t="shared" si="431"/>
        <v>0.22382719763220707</v>
      </c>
      <c r="AB170" s="60">
        <f t="shared" si="432"/>
        <v>0.63944167896153625</v>
      </c>
      <c r="AC170" s="35">
        <f t="shared" si="433"/>
        <v>4033.0318669999997</v>
      </c>
      <c r="AD170" s="35">
        <f>VLOOKUP($B170,REPORTE!$B$3:$AS$200,10,FALSE)/1000000</f>
        <v>1163.017073</v>
      </c>
      <c r="AE170" s="36">
        <f t="shared" si="434"/>
        <v>0.22382719763220707</v>
      </c>
      <c r="AF170" s="127">
        <f t="shared" si="435"/>
        <v>1.381521221096264</v>
      </c>
    </row>
    <row r="171" spans="1:32" s="41" customFormat="1" ht="20.25" customHeight="1">
      <c r="A171" s="38" t="s">
        <v>47</v>
      </c>
      <c r="B171" s="34" t="s">
        <v>47</v>
      </c>
      <c r="C171" s="35">
        <f>VLOOKUP(B171,REPORTE!$B$3:$AS$200,2,FALSE)/1000000</f>
        <v>2210.5711999999999</v>
      </c>
      <c r="D171" s="35">
        <f>VLOOKUP(B171,REPORTE!$B$3:$AS$200,3,FALSE)/1000000</f>
        <v>0</v>
      </c>
      <c r="E171" s="35">
        <f>VLOOKUP(B171,REPORTE!$B$3:$AS$200,4,FALSE)/1000000</f>
        <v>0</v>
      </c>
      <c r="F171" s="35">
        <f>VLOOKUP(B171,REPORTE!$B$3:$AS$200,5,FALSE)/1000000</f>
        <v>2210.5711999999999</v>
      </c>
      <c r="G171" s="35">
        <f>(VLOOKUP(B171,REPORTE!$B$3:$AS$200,6,FALSE)/1000000)</f>
        <v>0</v>
      </c>
      <c r="H171" s="35">
        <f t="shared" si="417"/>
        <v>2210.5711999999999</v>
      </c>
      <c r="I171" s="35">
        <f t="shared" si="418"/>
        <v>773.77808350873465</v>
      </c>
      <c r="J171" s="36">
        <f t="shared" si="419"/>
        <v>0.3500353589645675</v>
      </c>
      <c r="K171" s="35">
        <f>VLOOKUP($B171,REPORTE!$B$3:$AS$200,8,FALSE)/1000000</f>
        <v>750</v>
      </c>
      <c r="L171" s="36">
        <f t="shared" si="420"/>
        <v>0.33927882530994707</v>
      </c>
      <c r="M171" s="60">
        <f t="shared" si="421"/>
        <v>0.96927015120289817</v>
      </c>
      <c r="N171" s="35">
        <f t="shared" si="422"/>
        <v>1460.5711999999999</v>
      </c>
      <c r="O171" s="35">
        <f t="shared" si="423"/>
        <v>358.14575216574872</v>
      </c>
      <c r="P171" s="36">
        <f t="shared" si="424"/>
        <v>0.1620150267793902</v>
      </c>
      <c r="Q171" s="35">
        <f>VLOOKUP($B171,REPORTE!$B$3:$AS$200,10,FALSE)/1000000</f>
        <v>750</v>
      </c>
      <c r="R171" s="36">
        <f t="shared" si="425"/>
        <v>0.33927882530994707</v>
      </c>
      <c r="S171" s="60">
        <f t="shared" si="426"/>
        <v>2.0941194903601774</v>
      </c>
      <c r="T171" s="39">
        <f t="shared" si="427"/>
        <v>342.63853599999999</v>
      </c>
      <c r="U171" s="40">
        <f t="shared" si="428"/>
        <v>0.155</v>
      </c>
      <c r="V171" s="35">
        <f>VLOOKUP($B171,REPORTE!$B$3:$AS$200,11,FALSE)/1000000</f>
        <v>750</v>
      </c>
      <c r="W171" s="36">
        <f t="shared" si="429"/>
        <v>0.33927882530994707</v>
      </c>
      <c r="X171" s="145">
        <f t="shared" si="430"/>
        <v>2.1888956471609489</v>
      </c>
      <c r="Z171" s="35">
        <f>VLOOKUP($B171,REPORTE!$B$3:$AS$200,8,FALSE)/1000000</f>
        <v>750</v>
      </c>
      <c r="AA171" s="36">
        <f t="shared" si="431"/>
        <v>0.33927882530994707</v>
      </c>
      <c r="AB171" s="60">
        <f t="shared" si="432"/>
        <v>0.96927015120289817</v>
      </c>
      <c r="AC171" s="35">
        <f t="shared" si="433"/>
        <v>1460.5711999999999</v>
      </c>
      <c r="AD171" s="35">
        <f>VLOOKUP($B171,REPORTE!$B$3:$AS$200,10,FALSE)/1000000</f>
        <v>750</v>
      </c>
      <c r="AE171" s="36">
        <f t="shared" si="434"/>
        <v>0.33927882530994707</v>
      </c>
      <c r="AF171" s="127">
        <f t="shared" si="435"/>
        <v>2.0941194903601774</v>
      </c>
    </row>
    <row r="172" spans="1:32" s="41" customFormat="1" ht="20.25" customHeight="1">
      <c r="A172" s="38" t="s">
        <v>48</v>
      </c>
      <c r="B172" s="34" t="s">
        <v>48</v>
      </c>
      <c r="C172" s="35">
        <f>VLOOKUP(B172,REPORTE!$B$3:$AS$200,2,FALSE)/1000000</f>
        <v>6963.2031459999998</v>
      </c>
      <c r="D172" s="35">
        <f>VLOOKUP(B172,REPORTE!$B$3:$AS$200,3,FALSE)/1000000</f>
        <v>0</v>
      </c>
      <c r="E172" s="35">
        <f>VLOOKUP(B172,REPORTE!$B$3:$AS$200,4,FALSE)/1000000</f>
        <v>0</v>
      </c>
      <c r="F172" s="35">
        <f>VLOOKUP(B172,REPORTE!$B$3:$AS$200,5,FALSE)/1000000</f>
        <v>6963.2031459999998</v>
      </c>
      <c r="G172" s="35">
        <f>(VLOOKUP(B172,REPORTE!$B$3:$AS$200,6,FALSE)/1000000)</f>
        <v>0</v>
      </c>
      <c r="H172" s="35">
        <f t="shared" si="417"/>
        <v>6963.2031459999998</v>
      </c>
      <c r="I172" s="35">
        <f t="shared" si="418"/>
        <v>2437.3673127533157</v>
      </c>
      <c r="J172" s="36">
        <f t="shared" si="419"/>
        <v>0.3500353589645675</v>
      </c>
      <c r="K172" s="35">
        <f>VLOOKUP($B172,REPORTE!$B$3:$AS$200,8,FALSE)/1000000</f>
        <v>487.79048299999999</v>
      </c>
      <c r="L172" s="36">
        <f t="shared" si="420"/>
        <v>7.0052599755072553E-2</v>
      </c>
      <c r="M172" s="60">
        <f t="shared" si="421"/>
        <v>0.20013006675180967</v>
      </c>
      <c r="N172" s="35">
        <f t="shared" si="422"/>
        <v>6475.4126630000001</v>
      </c>
      <c r="O172" s="35">
        <f t="shared" si="423"/>
        <v>1128.1435441695241</v>
      </c>
      <c r="P172" s="36">
        <f t="shared" si="424"/>
        <v>0.1620150267793902</v>
      </c>
      <c r="Q172" s="35">
        <f>VLOOKUP($B172,REPORTE!$B$3:$AS$200,10,FALSE)/1000000</f>
        <v>487.79048299999999</v>
      </c>
      <c r="R172" s="36">
        <f t="shared" si="425"/>
        <v>7.0052599755072553E-2</v>
      </c>
      <c r="S172" s="60">
        <f t="shared" si="426"/>
        <v>0.4323833483079354</v>
      </c>
      <c r="T172" s="39">
        <f t="shared" si="427"/>
        <v>1079.29648763</v>
      </c>
      <c r="U172" s="40">
        <f t="shared" si="428"/>
        <v>0.155</v>
      </c>
      <c r="V172" s="35">
        <f>VLOOKUP($B172,REPORTE!$B$3:$AS$200,11,FALSE)/1000000</f>
        <v>487.79048299999999</v>
      </c>
      <c r="W172" s="36">
        <f t="shared" si="429"/>
        <v>7.0052599755072553E-2</v>
      </c>
      <c r="X172" s="145">
        <f t="shared" si="430"/>
        <v>0.45195225648433907</v>
      </c>
      <c r="Z172" s="35">
        <f>VLOOKUP($B172,REPORTE!$B$3:$AS$200,8,FALSE)/1000000</f>
        <v>487.79048299999999</v>
      </c>
      <c r="AA172" s="36">
        <f t="shared" si="431"/>
        <v>7.0052599755072553E-2</v>
      </c>
      <c r="AB172" s="60">
        <f t="shared" si="432"/>
        <v>0.20013006675180967</v>
      </c>
      <c r="AC172" s="35">
        <f t="shared" si="433"/>
        <v>6475.4126630000001</v>
      </c>
      <c r="AD172" s="35">
        <f>VLOOKUP($B172,REPORTE!$B$3:$AS$200,10,FALSE)/1000000</f>
        <v>487.79048299999999</v>
      </c>
      <c r="AE172" s="36">
        <f t="shared" si="434"/>
        <v>7.0052599755072553E-2</v>
      </c>
      <c r="AF172" s="127">
        <f t="shared" si="435"/>
        <v>0.4323833483079354</v>
      </c>
    </row>
    <row r="173" spans="1:32" s="41" customFormat="1" ht="20.25" customHeight="1">
      <c r="A173" s="38" t="s">
        <v>49</v>
      </c>
      <c r="B173" s="34" t="s">
        <v>49</v>
      </c>
      <c r="C173" s="35">
        <f>VLOOKUP(B173,REPORTE!$B$3:$AS$200,2,FALSE)/1000000</f>
        <v>6619.7266559999998</v>
      </c>
      <c r="D173" s="35">
        <f>VLOOKUP(B173,REPORTE!$B$3:$AS$200,3,FALSE)/1000000</f>
        <v>0</v>
      </c>
      <c r="E173" s="35">
        <f>VLOOKUP(B173,REPORTE!$B$3:$AS$200,4,FALSE)/1000000</f>
        <v>0</v>
      </c>
      <c r="F173" s="35">
        <f>VLOOKUP(B173,REPORTE!$B$3:$AS$200,5,FALSE)/1000000</f>
        <v>6619.7266559999998</v>
      </c>
      <c r="G173" s="35">
        <f>(VLOOKUP(B173,REPORTE!$B$3:$AS$200,6,FALSE)/1000000)</f>
        <v>0</v>
      </c>
      <c r="H173" s="35">
        <f t="shared" si="417"/>
        <v>6619.7266559999998</v>
      </c>
      <c r="I173" s="35">
        <f t="shared" si="418"/>
        <v>2317.1383962802761</v>
      </c>
      <c r="J173" s="36">
        <f t="shared" si="419"/>
        <v>0.3500353589645675</v>
      </c>
      <c r="K173" s="35">
        <f>VLOOKUP($B173,REPORTE!$B$3:$AS$200,8,FALSE)/1000000</f>
        <v>1386.037638</v>
      </c>
      <c r="L173" s="36">
        <f t="shared" si="420"/>
        <v>0.20937988983936681</v>
      </c>
      <c r="M173" s="60">
        <f t="shared" si="421"/>
        <v>0.59816782641253508</v>
      </c>
      <c r="N173" s="35">
        <f t="shared" si="422"/>
        <v>5233.689018</v>
      </c>
      <c r="O173" s="35">
        <f t="shared" si="423"/>
        <v>1072.495191444083</v>
      </c>
      <c r="P173" s="36">
        <f t="shared" si="424"/>
        <v>0.1620150267793902</v>
      </c>
      <c r="Q173" s="35">
        <f>VLOOKUP($B173,REPORTE!$B$3:$AS$200,10,FALSE)/1000000</f>
        <v>1373.037638</v>
      </c>
      <c r="R173" s="36">
        <f t="shared" si="425"/>
        <v>0.20741606252812625</v>
      </c>
      <c r="S173" s="60">
        <f t="shared" si="426"/>
        <v>1.2802273137945219</v>
      </c>
      <c r="T173" s="39">
        <f t="shared" si="427"/>
        <v>1026.05763168</v>
      </c>
      <c r="U173" s="40">
        <f t="shared" si="428"/>
        <v>0.155</v>
      </c>
      <c r="V173" s="35">
        <f>VLOOKUP($B173,REPORTE!$B$3:$AS$200,11,FALSE)/1000000</f>
        <v>1373.037638</v>
      </c>
      <c r="W173" s="36">
        <f t="shared" si="429"/>
        <v>0.20741606252812625</v>
      </c>
      <c r="X173" s="145">
        <f t="shared" si="430"/>
        <v>1.3381681453427501</v>
      </c>
      <c r="Z173" s="35">
        <f>VLOOKUP($B173,REPORTE!$B$3:$AS$200,8,FALSE)/1000000</f>
        <v>1386.037638</v>
      </c>
      <c r="AA173" s="36">
        <f t="shared" si="431"/>
        <v>0.20937988983936681</v>
      </c>
      <c r="AB173" s="60">
        <f t="shared" si="432"/>
        <v>0.59816782641253508</v>
      </c>
      <c r="AC173" s="35">
        <f t="shared" si="433"/>
        <v>5233.689018</v>
      </c>
      <c r="AD173" s="35">
        <f>VLOOKUP($B173,REPORTE!$B$3:$AS$200,10,FALSE)/1000000</f>
        <v>1373.037638</v>
      </c>
      <c r="AE173" s="36">
        <f t="shared" si="434"/>
        <v>0.20741606252812625</v>
      </c>
      <c r="AF173" s="127">
        <f t="shared" si="435"/>
        <v>1.2802273137945219</v>
      </c>
    </row>
    <row r="174" spans="1:32" s="41" customFormat="1" ht="20.25" customHeight="1">
      <c r="A174" s="38" t="s">
        <v>50</v>
      </c>
      <c r="B174" s="34" t="s">
        <v>50</v>
      </c>
      <c r="C174" s="35">
        <f>VLOOKUP(B174,REPORTE!$B$3:$AS$200,2,FALSE)/1000000</f>
        <v>5751.6148050000002</v>
      </c>
      <c r="D174" s="35">
        <f>VLOOKUP(B174,REPORTE!$B$3:$AS$200,3,FALSE)/1000000</f>
        <v>0</v>
      </c>
      <c r="E174" s="35">
        <f>VLOOKUP(B174,REPORTE!$B$3:$AS$200,4,FALSE)/1000000</f>
        <v>0</v>
      </c>
      <c r="F174" s="35">
        <f>VLOOKUP(B174,REPORTE!$B$3:$AS$200,5,FALSE)/1000000</f>
        <v>5751.6148050000002</v>
      </c>
      <c r="G174" s="35">
        <f>(VLOOKUP(B174,REPORTE!$B$3:$AS$200,6,FALSE)/1000000)</f>
        <v>0</v>
      </c>
      <c r="H174" s="35">
        <f t="shared" si="417"/>
        <v>5751.6148050000002</v>
      </c>
      <c r="I174" s="35">
        <f t="shared" si="418"/>
        <v>2013.268552894096</v>
      </c>
      <c r="J174" s="36">
        <f t="shared" si="419"/>
        <v>0.3500353589645675</v>
      </c>
      <c r="K174" s="35">
        <f>VLOOKUP($B174,REPORTE!$B$3:$AS$200,8,FALSE)/1000000</f>
        <v>1125.10072371</v>
      </c>
      <c r="L174" s="36">
        <f t="shared" si="420"/>
        <v>0.19561475548256921</v>
      </c>
      <c r="M174" s="60">
        <f t="shared" si="421"/>
        <v>0.55884284393786177</v>
      </c>
      <c r="N174" s="35">
        <f t="shared" si="422"/>
        <v>4626.5140812899999</v>
      </c>
      <c r="O174" s="35">
        <f t="shared" si="423"/>
        <v>931.84802665681218</v>
      </c>
      <c r="P174" s="36">
        <f t="shared" si="424"/>
        <v>0.1620150267793902</v>
      </c>
      <c r="Q174" s="35">
        <f>VLOOKUP($B174,REPORTE!$B$3:$AS$200,10,FALSE)/1000000</f>
        <v>1125.10072371</v>
      </c>
      <c r="R174" s="36">
        <f t="shared" si="425"/>
        <v>0.19561475548256921</v>
      </c>
      <c r="S174" s="60">
        <f t="shared" si="426"/>
        <v>1.2073864960003402</v>
      </c>
      <c r="T174" s="39">
        <f t="shared" si="427"/>
        <v>891.50029477500004</v>
      </c>
      <c r="U174" s="40">
        <f t="shared" si="428"/>
        <v>0.155</v>
      </c>
      <c r="V174" s="35">
        <f>VLOOKUP($B174,REPORTE!$B$3:$AS$200,11,FALSE)/1000000</f>
        <v>1125.10072371</v>
      </c>
      <c r="W174" s="36">
        <f t="shared" si="429"/>
        <v>0.19561475548256921</v>
      </c>
      <c r="X174" s="145">
        <f t="shared" si="430"/>
        <v>1.2620306805327046</v>
      </c>
      <c r="Z174" s="35">
        <f>VLOOKUP($B174,REPORTE!$B$3:$AS$200,8,FALSE)/1000000</f>
        <v>1125.10072371</v>
      </c>
      <c r="AA174" s="36">
        <f t="shared" si="431"/>
        <v>0.19561475548256921</v>
      </c>
      <c r="AB174" s="60">
        <f t="shared" si="432"/>
        <v>0.55884284393786177</v>
      </c>
      <c r="AC174" s="35">
        <f t="shared" si="433"/>
        <v>4626.5140812899999</v>
      </c>
      <c r="AD174" s="35">
        <f>VLOOKUP($B174,REPORTE!$B$3:$AS$200,10,FALSE)/1000000</f>
        <v>1125.10072371</v>
      </c>
      <c r="AE174" s="36">
        <f t="shared" si="434"/>
        <v>0.19561475548256921</v>
      </c>
      <c r="AF174" s="127">
        <f t="shared" si="435"/>
        <v>1.2073864960003402</v>
      </c>
    </row>
    <row r="175" spans="1:32" s="41" customFormat="1" ht="20.25" customHeight="1">
      <c r="A175" s="38" t="s">
        <v>51</v>
      </c>
      <c r="B175" s="34" t="s">
        <v>51</v>
      </c>
      <c r="C175" s="35">
        <f>VLOOKUP(B175,REPORTE!$B$3:$AS$200,2,FALSE)/1000000</f>
        <v>2921</v>
      </c>
      <c r="D175" s="35">
        <f>VLOOKUP(B175,REPORTE!$B$3:$AS$200,3,FALSE)/1000000</f>
        <v>0</v>
      </c>
      <c r="E175" s="35">
        <f>VLOOKUP(B175,REPORTE!$B$3:$AS$200,4,FALSE)/1000000</f>
        <v>0</v>
      </c>
      <c r="F175" s="35">
        <f>VLOOKUP(B175,REPORTE!$B$3:$AS$200,5,FALSE)/1000000</f>
        <v>2921</v>
      </c>
      <c r="G175" s="35">
        <f>(VLOOKUP(B175,REPORTE!$B$3:$AS$200,6,FALSE)/1000000)</f>
        <v>0</v>
      </c>
      <c r="H175" s="35">
        <f t="shared" si="417"/>
        <v>2921</v>
      </c>
      <c r="I175" s="35">
        <f t="shared" si="418"/>
        <v>1022.4532835355017</v>
      </c>
      <c r="J175" s="36">
        <f t="shared" si="419"/>
        <v>0.3500353589645675</v>
      </c>
      <c r="K175" s="35">
        <f>VLOOKUP($B175,REPORTE!$B$3:$AS$200,8,FALSE)/1000000</f>
        <v>615.514771</v>
      </c>
      <c r="L175" s="36">
        <f t="shared" si="420"/>
        <v>0.2107205652173913</v>
      </c>
      <c r="M175" s="60">
        <f t="shared" si="421"/>
        <v>0.60199794055297595</v>
      </c>
      <c r="N175" s="35">
        <f t="shared" si="422"/>
        <v>2305.4852289999999</v>
      </c>
      <c r="O175" s="35">
        <f t="shared" si="423"/>
        <v>473.2458932225988</v>
      </c>
      <c r="P175" s="36">
        <f t="shared" si="424"/>
        <v>0.1620150267793902</v>
      </c>
      <c r="Q175" s="35">
        <f>VLOOKUP($B175,REPORTE!$B$3:$AS$200,10,FALSE)/1000000</f>
        <v>595.51263900000004</v>
      </c>
      <c r="R175" s="36">
        <f t="shared" si="425"/>
        <v>0.20387286511468677</v>
      </c>
      <c r="S175" s="60">
        <f t="shared" si="426"/>
        <v>1.2583577533971144</v>
      </c>
      <c r="T175" s="39">
        <f t="shared" si="427"/>
        <v>452.755</v>
      </c>
      <c r="U175" s="40">
        <f t="shared" si="428"/>
        <v>0.155</v>
      </c>
      <c r="V175" s="35">
        <f>VLOOKUP($B175,REPORTE!$B$3:$AS$200,11,FALSE)/1000000</f>
        <v>595.51263900000004</v>
      </c>
      <c r="W175" s="36">
        <f t="shared" si="429"/>
        <v>0.20387286511468677</v>
      </c>
      <c r="X175" s="145">
        <f t="shared" si="430"/>
        <v>1.3153088071915275</v>
      </c>
      <c r="Z175" s="35">
        <f>VLOOKUP($B175,REPORTE!$B$3:$AS$200,8,FALSE)/1000000</f>
        <v>615.514771</v>
      </c>
      <c r="AA175" s="36">
        <f t="shared" si="431"/>
        <v>0.2107205652173913</v>
      </c>
      <c r="AB175" s="60">
        <f t="shared" si="432"/>
        <v>0.60199794055297595</v>
      </c>
      <c r="AC175" s="35">
        <f t="shared" si="433"/>
        <v>2305.4852289999999</v>
      </c>
      <c r="AD175" s="35">
        <f>VLOOKUP($B175,REPORTE!$B$3:$AS$200,10,FALSE)/1000000</f>
        <v>595.51263900000004</v>
      </c>
      <c r="AE175" s="36">
        <f t="shared" si="434"/>
        <v>0.20387286511468677</v>
      </c>
      <c r="AF175" s="127">
        <f t="shared" si="435"/>
        <v>1.2583577533971144</v>
      </c>
    </row>
    <row r="176" spans="1:32" s="41" customFormat="1" ht="20.25" customHeight="1">
      <c r="A176" s="38" t="s">
        <v>52</v>
      </c>
      <c r="B176" s="34" t="s">
        <v>52</v>
      </c>
      <c r="C176" s="35">
        <f>VLOOKUP(B176,REPORTE!$B$3:$AS$200,2,FALSE)/1000000</f>
        <v>4718.989654</v>
      </c>
      <c r="D176" s="35">
        <f>VLOOKUP(B176,REPORTE!$B$3:$AS$200,3,FALSE)/1000000</f>
        <v>0</v>
      </c>
      <c r="E176" s="35">
        <f>VLOOKUP(B176,REPORTE!$B$3:$AS$200,4,FALSE)/1000000</f>
        <v>0</v>
      </c>
      <c r="F176" s="35">
        <f>VLOOKUP(B176,REPORTE!$B$3:$AS$200,5,FALSE)/1000000</f>
        <v>4718.989654</v>
      </c>
      <c r="G176" s="35">
        <f>(VLOOKUP(B176,REPORTE!$B$3:$AS$200,6,FALSE)/1000000)</f>
        <v>0</v>
      </c>
      <c r="H176" s="35">
        <f t="shared" si="417"/>
        <v>4718.989654</v>
      </c>
      <c r="I176" s="35">
        <f t="shared" si="418"/>
        <v>1651.8132374879701</v>
      </c>
      <c r="J176" s="36">
        <f t="shared" si="419"/>
        <v>0.3500353589645675</v>
      </c>
      <c r="K176" s="35">
        <f>VLOOKUP($B176,REPORTE!$B$3:$AS$200,8,FALSE)/1000000</f>
        <v>1156.6283719999999</v>
      </c>
      <c r="L176" s="36">
        <f t="shared" si="420"/>
        <v>0.2451008492929406</v>
      </c>
      <c r="M176" s="60">
        <f t="shared" si="421"/>
        <v>0.70021740094477436</v>
      </c>
      <c r="N176" s="35">
        <f t="shared" si="422"/>
        <v>3562.3612819999998</v>
      </c>
      <c r="O176" s="35">
        <f t="shared" si="423"/>
        <v>764.5472351644753</v>
      </c>
      <c r="P176" s="36">
        <f t="shared" si="424"/>
        <v>0.1620150267793902</v>
      </c>
      <c r="Q176" s="35">
        <f>VLOOKUP($B176,REPORTE!$B$3:$AS$200,10,FALSE)/1000000</f>
        <v>1054.7262639999999</v>
      </c>
      <c r="R176" s="36">
        <f t="shared" si="425"/>
        <v>0.22350679728784162</v>
      </c>
      <c r="S176" s="60">
        <f t="shared" si="426"/>
        <v>1.3795436246304638</v>
      </c>
      <c r="T176" s="39">
        <f t="shared" si="427"/>
        <v>731.44339636999996</v>
      </c>
      <c r="U176" s="40">
        <f t="shared" si="428"/>
        <v>0.155</v>
      </c>
      <c r="V176" s="35">
        <f>VLOOKUP($B176,REPORTE!$B$3:$AS$200,11,FALSE)/1000000</f>
        <v>1054.7262639999999</v>
      </c>
      <c r="W176" s="36">
        <f t="shared" si="429"/>
        <v>0.22350679728784162</v>
      </c>
      <c r="X176" s="145">
        <f t="shared" si="430"/>
        <v>1.4419793373409138</v>
      </c>
      <c r="Z176" s="35">
        <f>VLOOKUP($B176,REPORTE!$B$3:$AS$200,8,FALSE)/1000000</f>
        <v>1156.6283719999999</v>
      </c>
      <c r="AA176" s="36">
        <f t="shared" si="431"/>
        <v>0.2451008492929406</v>
      </c>
      <c r="AB176" s="60">
        <f t="shared" si="432"/>
        <v>0.70021740094477436</v>
      </c>
      <c r="AC176" s="35">
        <f t="shared" si="433"/>
        <v>3562.3612819999998</v>
      </c>
      <c r="AD176" s="35">
        <f>VLOOKUP($B176,REPORTE!$B$3:$AS$200,10,FALSE)/1000000</f>
        <v>1054.7262639999999</v>
      </c>
      <c r="AE176" s="36">
        <f t="shared" si="434"/>
        <v>0.22350679728784162</v>
      </c>
      <c r="AF176" s="127">
        <f t="shared" si="435"/>
        <v>1.3795436246304638</v>
      </c>
    </row>
    <row r="177" spans="1:32" s="41" customFormat="1" ht="20.25" customHeight="1">
      <c r="A177" s="38" t="s">
        <v>25</v>
      </c>
      <c r="B177" s="34" t="s">
        <v>25</v>
      </c>
      <c r="C177" s="35">
        <f>VLOOKUP(B177,REPORTE!$B$3:$AS$200,2,FALSE)/1000000</f>
        <v>3337.529943</v>
      </c>
      <c r="D177" s="35">
        <f>VLOOKUP(B177,REPORTE!$B$3:$AS$200,3,FALSE)/1000000</f>
        <v>0</v>
      </c>
      <c r="E177" s="35">
        <f>VLOOKUP(B177,REPORTE!$B$3:$AS$200,4,FALSE)/1000000</f>
        <v>0</v>
      </c>
      <c r="F177" s="35">
        <f>VLOOKUP(B177,REPORTE!$B$3:$AS$200,5,FALSE)/1000000</f>
        <v>3337.529943</v>
      </c>
      <c r="G177" s="35">
        <f>(VLOOKUP(B177,REPORTE!$B$3:$AS$200,6,FALSE)/1000000)</f>
        <v>0</v>
      </c>
      <c r="H177" s="35">
        <f t="shared" si="417"/>
        <v>3337.529943</v>
      </c>
      <c r="I177" s="35">
        <f t="shared" si="418"/>
        <v>1168.2534916529976</v>
      </c>
      <c r="J177" s="36">
        <f t="shared" si="419"/>
        <v>0.3500353589645675</v>
      </c>
      <c r="K177" s="35">
        <f>VLOOKUP($B177,REPORTE!$B$3:$AS$200,8,FALSE)/1000000</f>
        <v>668.09999200000004</v>
      </c>
      <c r="L177" s="36">
        <f t="shared" si="420"/>
        <v>0.20017797695006329</v>
      </c>
      <c r="M177" s="60">
        <f t="shared" si="421"/>
        <v>0.57187930254305075</v>
      </c>
      <c r="N177" s="35">
        <f t="shared" si="422"/>
        <v>2669.4299510000001</v>
      </c>
      <c r="O177" s="35">
        <f t="shared" si="423"/>
        <v>540.73000309216161</v>
      </c>
      <c r="P177" s="36">
        <f t="shared" si="424"/>
        <v>0.1620150267793902</v>
      </c>
      <c r="Q177" s="35">
        <f>VLOOKUP($B177,REPORTE!$B$3:$AS$200,10,FALSE)/1000000</f>
        <v>668.09999200000004</v>
      </c>
      <c r="R177" s="36">
        <f t="shared" si="425"/>
        <v>0.20017797695006329</v>
      </c>
      <c r="S177" s="60">
        <f t="shared" si="426"/>
        <v>1.2355519171850531</v>
      </c>
      <c r="T177" s="39">
        <f t="shared" si="427"/>
        <v>517.31714116499995</v>
      </c>
      <c r="U177" s="40">
        <f t="shared" si="428"/>
        <v>0.155</v>
      </c>
      <c r="V177" s="35">
        <f>VLOOKUP($B177,REPORTE!$B$3:$AS$200,11,FALSE)/1000000</f>
        <v>668.09999200000004</v>
      </c>
      <c r="W177" s="36">
        <f t="shared" si="429"/>
        <v>0.20017797695006329</v>
      </c>
      <c r="X177" s="145">
        <f t="shared" si="430"/>
        <v>1.2914708190326665</v>
      </c>
      <c r="Z177" s="35">
        <f>VLOOKUP($B177,REPORTE!$B$3:$AS$200,8,FALSE)/1000000</f>
        <v>668.09999200000004</v>
      </c>
      <c r="AA177" s="36">
        <f t="shared" si="431"/>
        <v>0.20017797695006329</v>
      </c>
      <c r="AB177" s="60">
        <f t="shared" si="432"/>
        <v>0.57187930254305075</v>
      </c>
      <c r="AC177" s="35">
        <f t="shared" si="433"/>
        <v>2669.4299510000001</v>
      </c>
      <c r="AD177" s="35">
        <f>VLOOKUP($B177,REPORTE!$B$3:$AS$200,10,FALSE)/1000000</f>
        <v>668.09999200000004</v>
      </c>
      <c r="AE177" s="36">
        <f t="shared" si="434"/>
        <v>0.20017797695006329</v>
      </c>
      <c r="AF177" s="127">
        <f t="shared" si="435"/>
        <v>1.2355519171850531</v>
      </c>
    </row>
    <row r="178" spans="1:32" s="41" customFormat="1" ht="20.25" customHeight="1">
      <c r="A178" s="38" t="s">
        <v>26</v>
      </c>
      <c r="B178" s="34" t="s">
        <v>26</v>
      </c>
      <c r="C178" s="35">
        <f>VLOOKUP(B178,REPORTE!$B$3:$AS$200,2,FALSE)/1000000</f>
        <v>3190.517789</v>
      </c>
      <c r="D178" s="35">
        <f>VLOOKUP(B178,REPORTE!$B$3:$AS$200,3,FALSE)/1000000</f>
        <v>0</v>
      </c>
      <c r="E178" s="35">
        <f>VLOOKUP(B178,REPORTE!$B$3:$AS$200,4,FALSE)/1000000</f>
        <v>0</v>
      </c>
      <c r="F178" s="35">
        <f>VLOOKUP(B178,REPORTE!$B$3:$AS$200,5,FALSE)/1000000</f>
        <v>3190.517789</v>
      </c>
      <c r="G178" s="35">
        <f>(VLOOKUP(B178,REPORTE!$B$3:$AS$200,6,FALSE)/1000000)</f>
        <v>0</v>
      </c>
      <c r="H178" s="35">
        <f t="shared" si="417"/>
        <v>3190.517789</v>
      </c>
      <c r="I178" s="35">
        <f t="shared" si="418"/>
        <v>1116.7940395554533</v>
      </c>
      <c r="J178" s="36">
        <f t="shared" si="419"/>
        <v>0.3500353589645675</v>
      </c>
      <c r="K178" s="35">
        <f>VLOOKUP($B178,REPORTE!$B$3:$AS$200,8,FALSE)/1000000</f>
        <v>53.539200000000001</v>
      </c>
      <c r="L178" s="36">
        <f t="shared" si="420"/>
        <v>1.6780724490735633E-2</v>
      </c>
      <c r="M178" s="60">
        <f t="shared" si="421"/>
        <v>4.7940083940017815E-2</v>
      </c>
      <c r="N178" s="35">
        <f t="shared" si="422"/>
        <v>3136.9785889999998</v>
      </c>
      <c r="O178" s="35">
        <f t="shared" si="423"/>
        <v>516.91182502495576</v>
      </c>
      <c r="P178" s="36">
        <f t="shared" si="424"/>
        <v>0.1620150267793902</v>
      </c>
      <c r="Q178" s="35">
        <f>VLOOKUP($B178,REPORTE!$B$3:$AS$200,10,FALSE)/1000000</f>
        <v>1.6890000000000001</v>
      </c>
      <c r="R178" s="36">
        <f t="shared" si="425"/>
        <v>5.2938115744823391E-4</v>
      </c>
      <c r="S178" s="60">
        <f t="shared" si="426"/>
        <v>3.2674818377746678E-3</v>
      </c>
      <c r="T178" s="39">
        <f t="shared" si="427"/>
        <v>494.53025729500001</v>
      </c>
      <c r="U178" s="40">
        <f t="shared" si="428"/>
        <v>0.155</v>
      </c>
      <c r="V178" s="35">
        <f>VLOOKUP($B178,REPORTE!$B$3:$AS$200,11,FALSE)/1000000</f>
        <v>0</v>
      </c>
      <c r="W178" s="36">
        <f t="shared" si="429"/>
        <v>0</v>
      </c>
      <c r="X178" s="145">
        <f t="shared" si="430"/>
        <v>0</v>
      </c>
      <c r="Z178" s="35">
        <f>VLOOKUP($B178,REPORTE!$B$3:$AS$200,8,FALSE)/1000000</f>
        <v>53.539200000000001</v>
      </c>
      <c r="AA178" s="36">
        <f t="shared" si="431"/>
        <v>1.6780724490735633E-2</v>
      </c>
      <c r="AB178" s="60">
        <f t="shared" si="432"/>
        <v>4.7940083940017815E-2</v>
      </c>
      <c r="AC178" s="35">
        <f t="shared" si="433"/>
        <v>3136.9785889999998</v>
      </c>
      <c r="AD178" s="35">
        <f>VLOOKUP($B178,REPORTE!$B$3:$AS$200,10,FALSE)/1000000</f>
        <v>1.6890000000000001</v>
      </c>
      <c r="AE178" s="36">
        <f t="shared" si="434"/>
        <v>5.2938115744823391E-4</v>
      </c>
      <c r="AF178" s="127">
        <f t="shared" si="435"/>
        <v>3.2674818377746678E-3</v>
      </c>
    </row>
    <row r="179" spans="1:32" s="41" customFormat="1" ht="20.25" customHeight="1">
      <c r="A179" s="38" t="s">
        <v>455</v>
      </c>
      <c r="B179" s="34" t="s">
        <v>31</v>
      </c>
      <c r="C179" s="35">
        <f>VLOOKUP(B179,REPORTE!$B$3:$AS$200,2,FALSE)/1000000</f>
        <v>1339.2650000000001</v>
      </c>
      <c r="D179" s="35">
        <f>VLOOKUP(B179,REPORTE!$B$3:$AS$200,3,FALSE)/1000000</f>
        <v>0</v>
      </c>
      <c r="E179" s="35">
        <f>VLOOKUP(B179,REPORTE!$B$3:$AS$200,4,FALSE)/1000000</f>
        <v>0</v>
      </c>
      <c r="F179" s="35">
        <f>VLOOKUP(B179,REPORTE!$B$3:$AS$200,5,FALSE)/1000000</f>
        <v>1339.2650000000001</v>
      </c>
      <c r="G179" s="35">
        <f>(VLOOKUP(B179,REPORTE!$B$3:$AS$200,6,FALSE)/1000000)</f>
        <v>0</v>
      </c>
      <c r="H179" s="35">
        <f t="shared" si="417"/>
        <v>1339.2650000000001</v>
      </c>
      <c r="I179" s="35">
        <f t="shared" si="418"/>
        <v>468.79010502368152</v>
      </c>
      <c r="J179" s="36">
        <f t="shared" si="419"/>
        <v>0.3500353589645675</v>
      </c>
      <c r="K179" s="35">
        <f>VLOOKUP($B179,REPORTE!$B$3:$AS$200,8,FALSE)/1000000</f>
        <v>1339.2650000000001</v>
      </c>
      <c r="L179" s="36">
        <f t="shared" si="420"/>
        <v>1</v>
      </c>
      <c r="M179" s="60">
        <f t="shared" si="421"/>
        <v>2.8568542416916958</v>
      </c>
      <c r="N179" s="35">
        <f t="shared" si="422"/>
        <v>0</v>
      </c>
      <c r="O179" s="35">
        <f t="shared" si="423"/>
        <v>216.98105483970002</v>
      </c>
      <c r="P179" s="36">
        <f t="shared" si="424"/>
        <v>0.1620150267793902</v>
      </c>
      <c r="Q179" s="35">
        <f>VLOOKUP($B179,REPORTE!$B$3:$AS$200,10,FALSE)/1000000</f>
        <v>223.210826</v>
      </c>
      <c r="R179" s="36">
        <f t="shared" si="425"/>
        <v>0.16666666119102641</v>
      </c>
      <c r="S179" s="60">
        <f t="shared" si="426"/>
        <v>1.0287111294804165</v>
      </c>
      <c r="T179" s="39">
        <f t="shared" si="427"/>
        <v>207.58607500000002</v>
      </c>
      <c r="U179" s="40">
        <f t="shared" si="428"/>
        <v>0.155</v>
      </c>
      <c r="V179" s="35">
        <f>VLOOKUP($B179,REPORTE!$B$3:$AS$200,11,FALSE)/1000000</f>
        <v>223.210826</v>
      </c>
      <c r="W179" s="36">
        <f t="shared" si="429"/>
        <v>0.16666666119102641</v>
      </c>
      <c r="X179" s="145">
        <f t="shared" si="430"/>
        <v>1.0752687818775897</v>
      </c>
      <c r="Z179" s="35">
        <f>VLOOKUP($B179,REPORTE!$B$3:$AS$200,8,FALSE)/1000000</f>
        <v>1339.2650000000001</v>
      </c>
      <c r="AA179" s="36">
        <f t="shared" si="431"/>
        <v>1</v>
      </c>
      <c r="AB179" s="60">
        <f t="shared" si="432"/>
        <v>2.8568542416916958</v>
      </c>
      <c r="AC179" s="35">
        <f t="shared" si="433"/>
        <v>0</v>
      </c>
      <c r="AD179" s="35">
        <f>VLOOKUP($B179,REPORTE!$B$3:$AS$200,10,FALSE)/1000000</f>
        <v>223.210826</v>
      </c>
      <c r="AE179" s="36">
        <f t="shared" si="434"/>
        <v>0.16666666119102641</v>
      </c>
      <c r="AF179" s="127">
        <f t="shared" si="435"/>
        <v>1.0287111294804165</v>
      </c>
    </row>
    <row r="180" spans="1:32" s="41" customFormat="1" ht="20.25" customHeight="1">
      <c r="A180" s="38" t="s">
        <v>281</v>
      </c>
      <c r="B180" s="43" t="s">
        <v>219</v>
      </c>
      <c r="C180" s="35">
        <f>VLOOKUP(B180,REPORTE!$B$3:$AS$200,2,FALSE)/1000000</f>
        <v>2779.0169999999998</v>
      </c>
      <c r="D180" s="35">
        <f>VLOOKUP(B180,REPORTE!$B$3:$AS$200,3,FALSE)/1000000</f>
        <v>0</v>
      </c>
      <c r="E180" s="35">
        <f>VLOOKUP(B180,REPORTE!$B$3:$AS$200,4,FALSE)/1000000</f>
        <v>0</v>
      </c>
      <c r="F180" s="35">
        <f>VLOOKUP(B180,REPORTE!$B$3:$AS$200,5,FALSE)/1000000</f>
        <v>2779.0169999999998</v>
      </c>
      <c r="G180" s="35">
        <f>(VLOOKUP(B180,REPORTE!$B$3:$AS$200,6,FALSE)/1000000)</f>
        <v>0</v>
      </c>
      <c r="H180" s="35">
        <f t="shared" si="417"/>
        <v>2779.0169999999998</v>
      </c>
      <c r="I180" s="35">
        <f t="shared" si="418"/>
        <v>972.75421316363543</v>
      </c>
      <c r="J180" s="36">
        <f t="shared" si="419"/>
        <v>0.3500353589645675</v>
      </c>
      <c r="K180" s="35">
        <f>VLOOKUP($B180,REPORTE!$B$3:$AS$200,8,FALSE)/1000000</f>
        <v>934.93605700000001</v>
      </c>
      <c r="L180" s="36">
        <f t="shared" si="420"/>
        <v>0.33642689375415841</v>
      </c>
      <c r="M180" s="60">
        <f t="shared" ref="M180" si="451">L180/J180</f>
        <v>0.96112259844072889</v>
      </c>
      <c r="N180" s="35">
        <f t="shared" si="422"/>
        <v>1844.0809429999999</v>
      </c>
      <c r="O180" s="35">
        <f t="shared" si="423"/>
        <v>450.24251367538056</v>
      </c>
      <c r="P180" s="36">
        <f t="shared" si="424"/>
        <v>0.1620150267793902</v>
      </c>
      <c r="Q180" s="35">
        <f>VLOOKUP($B180,REPORTE!$B$3:$AS$200,10,FALSE)/1000000</f>
        <v>934.93605700000001</v>
      </c>
      <c r="R180" s="36">
        <f t="shared" si="425"/>
        <v>0.33642689375415841</v>
      </c>
      <c r="S180" s="60">
        <f t="shared" si="426"/>
        <v>2.0765166073901176</v>
      </c>
      <c r="T180" s="39">
        <f t="shared" si="427"/>
        <v>430.74763499999995</v>
      </c>
      <c r="U180" s="40">
        <f t="shared" si="428"/>
        <v>0.155</v>
      </c>
      <c r="V180" s="35">
        <f>VLOOKUP($B180,REPORTE!$B$3:$AS$200,11,FALSE)/1000000</f>
        <v>934.93605700000001</v>
      </c>
      <c r="W180" s="36">
        <f t="shared" si="429"/>
        <v>0.33642689375415841</v>
      </c>
      <c r="X180" s="145">
        <f t="shared" si="430"/>
        <v>2.1704960887365057</v>
      </c>
      <c r="Z180" s="35">
        <f>VLOOKUP($B180,REPORTE!$B$3:$AS$200,8,FALSE)/1000000</f>
        <v>934.93605700000001</v>
      </c>
      <c r="AA180" s="36">
        <f t="shared" si="431"/>
        <v>0.33642689375415841</v>
      </c>
      <c r="AB180" s="60">
        <f t="shared" si="432"/>
        <v>0.96112259844072889</v>
      </c>
      <c r="AC180" s="35">
        <f t="shared" si="433"/>
        <v>1844.0809429999999</v>
      </c>
      <c r="AD180" s="35">
        <f>VLOOKUP($B180,REPORTE!$B$3:$AS$200,10,FALSE)/1000000</f>
        <v>934.93605700000001</v>
      </c>
      <c r="AE180" s="36">
        <f t="shared" si="434"/>
        <v>0.33642689375415841</v>
      </c>
      <c r="AF180" s="127">
        <f t="shared" si="435"/>
        <v>2.0765166073901176</v>
      </c>
    </row>
    <row r="181" spans="1:32" s="41" customFormat="1" ht="20.25" customHeight="1">
      <c r="A181" s="38" t="s">
        <v>34</v>
      </c>
      <c r="B181" s="34" t="s">
        <v>34</v>
      </c>
      <c r="C181" s="35">
        <f>VLOOKUP(B181,REPORTE!$B$3:$AS$200,2,FALSE)/1000000</f>
        <v>9364.5845669999999</v>
      </c>
      <c r="D181" s="35">
        <f>VLOOKUP(B181,REPORTE!$B$3:$AS$200,3,FALSE)/1000000</f>
        <v>0</v>
      </c>
      <c r="E181" s="35">
        <f>VLOOKUP(B181,REPORTE!$B$3:$AS$200,4,FALSE)/1000000</f>
        <v>0</v>
      </c>
      <c r="F181" s="35">
        <f>VLOOKUP(B181,REPORTE!$B$3:$AS$200,5,FALSE)/1000000</f>
        <v>9364.5845669999999</v>
      </c>
      <c r="G181" s="35">
        <f>(VLOOKUP(B181,REPORTE!$B$3:$AS$200,6,FALSE)/1000000)</f>
        <v>0</v>
      </c>
      <c r="H181" s="35">
        <f t="shared" si="417"/>
        <v>9364.5845669999999</v>
      </c>
      <c r="I181" s="35">
        <f t="shared" si="418"/>
        <v>3277.9357204638941</v>
      </c>
      <c r="J181" s="36">
        <f t="shared" si="419"/>
        <v>0.3500353589645675</v>
      </c>
      <c r="K181" s="35">
        <f>VLOOKUP($B181,REPORTE!$B$3:$AS$200,8,FALSE)/1000000</f>
        <v>659.26915099999997</v>
      </c>
      <c r="L181" s="36">
        <f t="shared" si="420"/>
        <v>7.0400256015969831E-2</v>
      </c>
      <c r="M181" s="60">
        <f t="shared" si="421"/>
        <v>0.20112327001540473</v>
      </c>
      <c r="N181" s="35">
        <f t="shared" si="422"/>
        <v>8705.3154159999995</v>
      </c>
      <c r="O181" s="35">
        <f t="shared" si="423"/>
        <v>1517.2034194003691</v>
      </c>
      <c r="P181" s="36">
        <f t="shared" si="424"/>
        <v>0.1620150267793902</v>
      </c>
      <c r="Q181" s="35">
        <f>VLOOKUP($B181,REPORTE!$B$3:$AS$200,10,FALSE)/1000000</f>
        <v>439.51279099999999</v>
      </c>
      <c r="R181" s="36">
        <f t="shared" si="425"/>
        <v>4.6933506537898725E-2</v>
      </c>
      <c r="S181" s="60">
        <f t="shared" si="426"/>
        <v>0.28968613264377213</v>
      </c>
      <c r="T181" s="39">
        <f t="shared" si="427"/>
        <v>1451.5106078849999</v>
      </c>
      <c r="U181" s="40">
        <f t="shared" si="428"/>
        <v>0.155</v>
      </c>
      <c r="V181" s="35">
        <f>VLOOKUP($B181,REPORTE!$B$3:$AS$200,11,FALSE)/1000000</f>
        <v>439.51279099999999</v>
      </c>
      <c r="W181" s="36">
        <f t="shared" si="429"/>
        <v>4.6933506537898725E-2</v>
      </c>
      <c r="X181" s="145">
        <f t="shared" si="430"/>
        <v>0.30279681637354017</v>
      </c>
      <c r="Z181" s="35">
        <f>VLOOKUP($B181,REPORTE!$B$3:$AS$200,8,FALSE)/1000000</f>
        <v>659.26915099999997</v>
      </c>
      <c r="AA181" s="36">
        <f t="shared" si="431"/>
        <v>7.0400256015969831E-2</v>
      </c>
      <c r="AB181" s="60">
        <f t="shared" si="432"/>
        <v>0.20112327001540473</v>
      </c>
      <c r="AC181" s="35">
        <f t="shared" si="433"/>
        <v>8705.3154159999995</v>
      </c>
      <c r="AD181" s="35">
        <f>VLOOKUP($B181,REPORTE!$B$3:$AS$200,10,FALSE)/1000000</f>
        <v>439.51279099999999</v>
      </c>
      <c r="AE181" s="36">
        <f t="shared" si="434"/>
        <v>4.6933506537898725E-2</v>
      </c>
      <c r="AF181" s="127">
        <f t="shared" si="435"/>
        <v>0.28968613264377213</v>
      </c>
    </row>
    <row r="182" spans="1:32">
      <c r="A182" s="290" t="s">
        <v>245</v>
      </c>
      <c r="B182" s="291"/>
      <c r="C182" s="260">
        <f t="shared" ref="C182:E182" si="452">SUM(C151:C181)</f>
        <v>130405.72653299999</v>
      </c>
      <c r="D182" s="260">
        <f t="shared" si="452"/>
        <v>0</v>
      </c>
      <c r="E182" s="260">
        <f t="shared" si="452"/>
        <v>0</v>
      </c>
      <c r="F182" s="260">
        <f>SUM(F151:F181)</f>
        <v>130405.72653299999</v>
      </c>
      <c r="G182" s="260">
        <f t="shared" ref="G182:H182" si="453">SUM(G151:G181)</f>
        <v>0</v>
      </c>
      <c r="H182" s="260">
        <f t="shared" si="453"/>
        <v>130405.72653299999</v>
      </c>
      <c r="I182" s="260">
        <f t="shared" si="418"/>
        <v>45646.61529801388</v>
      </c>
      <c r="J182" s="261">
        <f t="shared" ref="J182" si="454">$J$6</f>
        <v>0.3500353589645675</v>
      </c>
      <c r="K182" s="260">
        <f>SUM(K151:K181)</f>
        <v>40274.514360950008</v>
      </c>
      <c r="L182" s="261">
        <f>K182/$H182</f>
        <v>0.30884007498519084</v>
      </c>
      <c r="M182" s="262">
        <f t="shared" ref="M182" si="455">L182/J182</f>
        <v>0.88231107822582377</v>
      </c>
      <c r="N182" s="260">
        <f>SUM(N151:N181)</f>
        <v>90131.212172049985</v>
      </c>
      <c r="O182" s="260">
        <f t="shared" si="423"/>
        <v>21127.687276429828</v>
      </c>
      <c r="P182" s="261">
        <f t="shared" ref="P182" si="456">$P$6</f>
        <v>0.1620150267793902</v>
      </c>
      <c r="Q182" s="260">
        <f>SUM(Q151:Q181)</f>
        <v>22491.774653749999</v>
      </c>
      <c r="R182" s="261">
        <f t="shared" ref="R182" si="457">Q182/$H182</f>
        <v>0.17247536018334528</v>
      </c>
      <c r="S182" s="262">
        <f t="shared" si="426"/>
        <v>1.0645639704655205</v>
      </c>
      <c r="T182" s="260">
        <f t="shared" si="427"/>
        <v>20212.887612614999</v>
      </c>
      <c r="U182" s="263">
        <f t="shared" si="428"/>
        <v>0.155</v>
      </c>
      <c r="V182" s="260">
        <f>SUM(V151:V181)</f>
        <v>21599.480809749999</v>
      </c>
      <c r="W182" s="261">
        <f t="shared" ref="W182" si="458">V182/$H182</f>
        <v>0.16563291646769909</v>
      </c>
      <c r="X182" s="264">
        <f t="shared" si="430"/>
        <v>1.0685994610819296</v>
      </c>
      <c r="Z182" s="260">
        <f>SUM(Z151:Z181)</f>
        <v>40274.514360950008</v>
      </c>
      <c r="AA182" s="261">
        <f>Z182/$F182</f>
        <v>0.30884007498519084</v>
      </c>
      <c r="AB182" s="262">
        <f t="shared" si="432"/>
        <v>0.88231107822582377</v>
      </c>
      <c r="AC182" s="260">
        <f>SUM(AC151:AC181)</f>
        <v>90131.212172049985</v>
      </c>
      <c r="AD182" s="260">
        <f>SUM(AD151:AD181)</f>
        <v>22491.774653749999</v>
      </c>
      <c r="AE182" s="261">
        <f>AD182/$F182</f>
        <v>0.17247536018334528</v>
      </c>
      <c r="AF182" s="264">
        <f t="shared" si="435"/>
        <v>1.0645639704655205</v>
      </c>
    </row>
    <row r="183" spans="1:32">
      <c r="A183" s="135"/>
      <c r="F183" s="24"/>
      <c r="G183" s="24"/>
      <c r="H183" s="24"/>
      <c r="X183" s="146"/>
      <c r="AF183" s="133"/>
    </row>
    <row r="184" spans="1:32" ht="26.25" customHeight="1">
      <c r="A184" s="292" t="s">
        <v>225</v>
      </c>
      <c r="B184" s="293"/>
      <c r="C184" s="293"/>
      <c r="D184" s="293"/>
      <c r="E184" s="293"/>
      <c r="F184" s="293"/>
      <c r="G184" s="293"/>
      <c r="H184" s="293"/>
      <c r="I184" s="294" t="s">
        <v>2</v>
      </c>
      <c r="J184" s="295"/>
      <c r="K184" s="295"/>
      <c r="L184" s="295"/>
      <c r="M184" s="295"/>
      <c r="N184" s="296" t="s">
        <v>367</v>
      </c>
      <c r="O184" s="298" t="s">
        <v>3</v>
      </c>
      <c r="P184" s="299"/>
      <c r="Q184" s="299"/>
      <c r="R184" s="299"/>
      <c r="S184" s="300"/>
      <c r="T184" s="301" t="s">
        <v>113</v>
      </c>
      <c r="U184" s="301"/>
      <c r="V184" s="301"/>
      <c r="W184" s="301"/>
      <c r="X184" s="302"/>
      <c r="Z184" s="299" t="s">
        <v>2</v>
      </c>
      <c r="AA184" s="299"/>
      <c r="AB184" s="300"/>
      <c r="AC184" s="296" t="s">
        <v>367</v>
      </c>
      <c r="AD184" s="299" t="s">
        <v>3</v>
      </c>
      <c r="AE184" s="299"/>
      <c r="AF184" s="308"/>
    </row>
    <row r="185" spans="1:32" ht="33" customHeight="1">
      <c r="A185" s="256" t="s">
        <v>0</v>
      </c>
      <c r="B185" s="257" t="s">
        <v>243</v>
      </c>
      <c r="C185" s="255" t="s">
        <v>361</v>
      </c>
      <c r="D185" s="257" t="s">
        <v>355</v>
      </c>
      <c r="E185" s="257" t="s">
        <v>356</v>
      </c>
      <c r="F185" s="255" t="s">
        <v>1</v>
      </c>
      <c r="G185" s="255" t="s">
        <v>362</v>
      </c>
      <c r="H185" s="255" t="s">
        <v>358</v>
      </c>
      <c r="I185" s="255" t="s">
        <v>257</v>
      </c>
      <c r="J185" s="266" t="s">
        <v>4</v>
      </c>
      <c r="K185" s="255" t="s">
        <v>5</v>
      </c>
      <c r="L185" s="303" t="s">
        <v>4</v>
      </c>
      <c r="M185" s="304"/>
      <c r="N185" s="297"/>
      <c r="O185" s="255" t="str">
        <f>I185</f>
        <v>Meta</v>
      </c>
      <c r="P185" s="266" t="s">
        <v>4</v>
      </c>
      <c r="Q185" s="255" t="s">
        <v>5</v>
      </c>
      <c r="R185" s="303" t="s">
        <v>4</v>
      </c>
      <c r="S185" s="304"/>
      <c r="T185" s="255" t="str">
        <f>O185</f>
        <v>Meta</v>
      </c>
      <c r="U185" s="255" t="s">
        <v>4</v>
      </c>
      <c r="V185" s="255" t="s">
        <v>5</v>
      </c>
      <c r="W185" s="303" t="s">
        <v>4</v>
      </c>
      <c r="X185" s="305"/>
      <c r="Z185" s="255" t="s">
        <v>5</v>
      </c>
      <c r="AA185" s="303" t="s">
        <v>4</v>
      </c>
      <c r="AB185" s="304"/>
      <c r="AC185" s="297"/>
      <c r="AD185" s="255" t="s">
        <v>5</v>
      </c>
      <c r="AE185" s="303" t="s">
        <v>4</v>
      </c>
      <c r="AF185" s="309"/>
    </row>
    <row r="186" spans="1:32" s="41" customFormat="1" ht="21.75" customHeight="1">
      <c r="A186" s="38" t="s">
        <v>24</v>
      </c>
      <c r="B186" s="41" t="s">
        <v>24</v>
      </c>
      <c r="C186" s="35">
        <f>VLOOKUP(B186,REPORTE!$B$3:$AS$200,26,FALSE)/1000000</f>
        <v>2582.1370000000002</v>
      </c>
      <c r="D186" s="35">
        <f>VLOOKUP(B186,REPORTE!$B$3:$AS$200,27,FALSE)/1000000</f>
        <v>0</v>
      </c>
      <c r="E186" s="35">
        <f>VLOOKUP(B186,REPORTE!$B$3:$AS$200,28,FALSE)/1000000</f>
        <v>0</v>
      </c>
      <c r="F186" s="35">
        <f>VLOOKUP(B186,REPORTE!$B$3:$AS$200,29,FALSE)/1000000</f>
        <v>2582.1370000000002</v>
      </c>
      <c r="G186" s="35">
        <f>(VLOOKUP(B186,REPORTE!$B$3:$AS$200,30,FALSE)/1000000)</f>
        <v>0</v>
      </c>
      <c r="H186" s="35">
        <f t="shared" ref="H186:H216" si="459">F186-G186</f>
        <v>2582.1370000000002</v>
      </c>
      <c r="I186" s="35">
        <f t="shared" ref="I186:I217" si="460">J186*$H186</f>
        <v>903.83925169069153</v>
      </c>
      <c r="J186" s="36">
        <f t="shared" ref="J186:J216" si="461">$J$6</f>
        <v>0.3500353589645675</v>
      </c>
      <c r="K186" s="35">
        <f>VLOOKUP($B186,REPORTE!$B$3:$AS$200,32,FALSE)/1000000</f>
        <v>798.84364000000005</v>
      </c>
      <c r="L186" s="36">
        <f t="shared" ref="L186:L216" si="462">IF(H186=0,"",IF(H186="","",K186/$H186))</f>
        <v>0.30937306579782559</v>
      </c>
      <c r="M186" s="60">
        <f t="shared" ref="M186:M187" si="463">L186/J186</f>
        <v>0.88383375528968211</v>
      </c>
      <c r="N186" s="35">
        <f t="shared" ref="N186:N216" si="464">H186-K186</f>
        <v>1783.2933600000001</v>
      </c>
      <c r="O186" s="35">
        <f t="shared" ref="O186:O217" si="465">P186*$H186</f>
        <v>418.34499520305428</v>
      </c>
      <c r="P186" s="36">
        <f t="shared" ref="P186:P216" si="466">$P$6</f>
        <v>0.1620150267793902</v>
      </c>
      <c r="Q186" s="35">
        <f>VLOOKUP($B186,REPORTE!$B$3:$AS$200,34,FALSE)/1000000</f>
        <v>798.84364000000005</v>
      </c>
      <c r="R186" s="36">
        <f t="shared" ref="R186:R216" si="467">IF(H186=0,"",IF(H186="","",Q186/$H186))</f>
        <v>0.30937306579782559</v>
      </c>
      <c r="S186" s="60">
        <f t="shared" ref="S186:S217" si="468">R186/P186</f>
        <v>1.9095331584217019</v>
      </c>
      <c r="T186" s="35">
        <f t="shared" ref="T186:T217" si="469">U186*$H186</f>
        <v>400.23123500000003</v>
      </c>
      <c r="U186" s="40">
        <f t="shared" ref="U186:U217" si="470">$U$6</f>
        <v>0.155</v>
      </c>
      <c r="V186" s="35">
        <f>VLOOKUP($B186,REPORTE!$B$3:$AS$200,35,FALSE)/1000000</f>
        <v>797.85613000000001</v>
      </c>
      <c r="W186" s="36">
        <f t="shared" ref="W186:W216" si="471">IF(H186=0,"",IF(H186="","",V186/$H186))</f>
        <v>0.30899062675605515</v>
      </c>
      <c r="X186" s="145">
        <f t="shared" ref="X186:X217" si="472">W186/U186</f>
        <v>1.9934879145551945</v>
      </c>
      <c r="Z186" s="35">
        <f>VLOOKUP($B186,REPORTE!$B$3:$AS$200,32,FALSE)/1000000</f>
        <v>798.84364000000005</v>
      </c>
      <c r="AA186" s="36">
        <f t="shared" ref="AA186:AA216" si="473">IF(F186=0,"",IF(F186="","",Z186/$F186))</f>
        <v>0.30937306579782559</v>
      </c>
      <c r="AB186" s="60">
        <f t="shared" ref="AB186:AB217" si="474">AA186/$J186</f>
        <v>0.88383375528968211</v>
      </c>
      <c r="AC186" s="35">
        <f t="shared" ref="AC186:AC216" si="475">F186-Z186</f>
        <v>1783.2933600000001</v>
      </c>
      <c r="AD186" s="35">
        <f>VLOOKUP($B186,REPORTE!$B$3:$AS$200,34,FALSE)/1000000</f>
        <v>798.84364000000005</v>
      </c>
      <c r="AE186" s="36">
        <f t="shared" ref="AE186:AE216" si="476">IF(F186=0,"",IF(F186="","",AD186/$F186))</f>
        <v>0.30937306579782559</v>
      </c>
      <c r="AF186" s="127">
        <f t="shared" ref="AF186:AF217" si="477">AE186/P186</f>
        <v>1.9095331584217019</v>
      </c>
    </row>
    <row r="187" spans="1:32" s="41" customFormat="1" ht="21.75" customHeight="1">
      <c r="A187" s="38" t="s">
        <v>392</v>
      </c>
      <c r="B187" s="34" t="s">
        <v>392</v>
      </c>
      <c r="C187" s="35">
        <f>VLOOKUP(B187,REPORTE!$B$3:$AS$200,26,FALSE)/1000000</f>
        <v>0</v>
      </c>
      <c r="D187" s="35">
        <f>VLOOKUP(B187,REPORTE!$B$3:$AS$200,27,FALSE)/1000000</f>
        <v>0</v>
      </c>
      <c r="E187" s="35">
        <f>VLOOKUP(B187,REPORTE!$B$3:$AS$200,28,FALSE)/1000000</f>
        <v>0</v>
      </c>
      <c r="F187" s="35">
        <f>VLOOKUP(B187,REPORTE!$B$3:$AS$200,29,FALSE)/1000000</f>
        <v>0</v>
      </c>
      <c r="G187" s="35">
        <f>(VLOOKUP(B187,REPORTE!$B$3:$AS$200,30,FALSE)/1000000)</f>
        <v>0</v>
      </c>
      <c r="H187" s="35">
        <f t="shared" ref="H187" si="478">F187-G187</f>
        <v>0</v>
      </c>
      <c r="I187" s="35">
        <f t="shared" ref="I187" si="479">J187*$H187</f>
        <v>0</v>
      </c>
      <c r="J187" s="36">
        <f t="shared" si="461"/>
        <v>0.3500353589645675</v>
      </c>
      <c r="K187" s="35">
        <f>VLOOKUP($B187,REPORTE!$B$3:$AS$200,32,FALSE)/1000000</f>
        <v>0</v>
      </c>
      <c r="L187" s="36" t="str">
        <f t="shared" ref="L187" si="480">IF(H187=0,"",IF(H187="","",K187/$H187))</f>
        <v/>
      </c>
      <c r="M187" s="60" t="e">
        <f t="shared" si="463"/>
        <v>#VALUE!</v>
      </c>
      <c r="N187" s="35">
        <f t="shared" ref="N187" si="481">H187-K187</f>
        <v>0</v>
      </c>
      <c r="O187" s="35">
        <f t="shared" ref="O187" si="482">P187*$H187</f>
        <v>0</v>
      </c>
      <c r="P187" s="36">
        <f t="shared" si="466"/>
        <v>0.1620150267793902</v>
      </c>
      <c r="Q187" s="35">
        <f>VLOOKUP($B187,REPORTE!$B$3:$AS$200,34,FALSE)/1000000</f>
        <v>0</v>
      </c>
      <c r="R187" s="36" t="str">
        <f t="shared" ref="R187" si="483">IF(H187=0,"",IF(H187="","",Q187/$H187))</f>
        <v/>
      </c>
      <c r="S187" s="60" t="e">
        <f t="shared" ref="S187" si="484">R187/P187</f>
        <v>#VALUE!</v>
      </c>
      <c r="T187" s="35">
        <f t="shared" ref="T187" si="485">U187*$H187</f>
        <v>0</v>
      </c>
      <c r="U187" s="40">
        <f t="shared" si="470"/>
        <v>0.155</v>
      </c>
      <c r="V187" s="35">
        <f>VLOOKUP($B187,REPORTE!$B$3:$AS$200,35,FALSE)/1000000</f>
        <v>0</v>
      </c>
      <c r="W187" s="36" t="str">
        <f t="shared" ref="W187" si="486">IF(H187=0,"",IF(H187="","",V187/$H187))</f>
        <v/>
      </c>
      <c r="X187" s="145" t="e">
        <f t="shared" ref="X187" si="487">W187/U187</f>
        <v>#VALUE!</v>
      </c>
      <c r="Z187" s="35">
        <f>VLOOKUP($B187,REPORTE!$B$3:$AS$200,32,FALSE)/1000000</f>
        <v>0</v>
      </c>
      <c r="AA187" s="36" t="str">
        <f t="shared" ref="AA187" si="488">IF(F187=0,"",IF(F187="","",Z187/$F187))</f>
        <v/>
      </c>
      <c r="AB187" s="60" t="e">
        <f t="shared" ref="AB187" si="489">AA187/$J187</f>
        <v>#VALUE!</v>
      </c>
      <c r="AC187" s="35">
        <f t="shared" ref="AC187" si="490">F187-Z187</f>
        <v>0</v>
      </c>
      <c r="AD187" s="35">
        <f>VLOOKUP($B187,REPORTE!$B$3:$AS$200,34,FALSE)/1000000</f>
        <v>0</v>
      </c>
      <c r="AE187" s="36" t="str">
        <f t="shared" ref="AE187" si="491">IF(F187=0,"",IF(F187="","",AD187/$F187))</f>
        <v/>
      </c>
      <c r="AF187" s="127" t="e">
        <f t="shared" ref="AF187" si="492">AE187/P187</f>
        <v>#VALUE!</v>
      </c>
    </row>
    <row r="188" spans="1:32" s="41" customFormat="1" ht="21.75" customHeight="1">
      <c r="A188" s="38" t="s">
        <v>27</v>
      </c>
      <c r="B188" s="34" t="s">
        <v>27</v>
      </c>
      <c r="C188" s="35">
        <f>VLOOKUP(B188,REPORTE!$B$3:$AS$200,26,FALSE)/1000000</f>
        <v>2502.9</v>
      </c>
      <c r="D188" s="35">
        <f>VLOOKUP(B188,REPORTE!$B$3:$AS$200,27,FALSE)/1000000</f>
        <v>0</v>
      </c>
      <c r="E188" s="35">
        <f>VLOOKUP(B188,REPORTE!$B$3:$AS$200,28,FALSE)/1000000</f>
        <v>0</v>
      </c>
      <c r="F188" s="35">
        <f>VLOOKUP(B188,REPORTE!$B$3:$AS$200,29,FALSE)/1000000</f>
        <v>2502.9</v>
      </c>
      <c r="G188" s="35">
        <f>(VLOOKUP(B188,REPORTE!$B$3:$AS$200,30,FALSE)/1000000)</f>
        <v>0</v>
      </c>
      <c r="H188" s="35">
        <f t="shared" si="459"/>
        <v>2502.9</v>
      </c>
      <c r="I188" s="35">
        <f t="shared" si="460"/>
        <v>876.10349995241597</v>
      </c>
      <c r="J188" s="36">
        <f t="shared" si="461"/>
        <v>0.3500353589645675</v>
      </c>
      <c r="K188" s="35">
        <f>VLOOKUP($B188,REPORTE!$B$3:$AS$200,32,FALSE)/1000000</f>
        <v>528.20000000000005</v>
      </c>
      <c r="L188" s="36">
        <f t="shared" si="462"/>
        <v>0.21103519916896402</v>
      </c>
      <c r="M188" s="60">
        <f t="shared" ref="M188:M215" si="493">L188/J188</f>
        <v>0.60289680389210665</v>
      </c>
      <c r="N188" s="35">
        <f t="shared" si="464"/>
        <v>1974.7</v>
      </c>
      <c r="O188" s="35">
        <f t="shared" si="465"/>
        <v>405.50741052613574</v>
      </c>
      <c r="P188" s="36">
        <f t="shared" si="466"/>
        <v>0.1620150267793902</v>
      </c>
      <c r="Q188" s="35">
        <f>VLOOKUP($B188,REPORTE!$B$3:$AS$200,34,FALSE)/1000000</f>
        <v>521.20000000000005</v>
      </c>
      <c r="R188" s="36">
        <f t="shared" si="467"/>
        <v>0.20823844340564945</v>
      </c>
      <c r="S188" s="60">
        <f t="shared" si="468"/>
        <v>1.2853032681295664</v>
      </c>
      <c r="T188" s="35">
        <f t="shared" si="469"/>
        <v>387.9495</v>
      </c>
      <c r="U188" s="40">
        <f t="shared" si="470"/>
        <v>0.155</v>
      </c>
      <c r="V188" s="35">
        <f>VLOOKUP($B188,REPORTE!$B$3:$AS$200,35,FALSE)/1000000</f>
        <v>521.20000000000005</v>
      </c>
      <c r="W188" s="36">
        <f t="shared" si="471"/>
        <v>0.20823844340564945</v>
      </c>
      <c r="X188" s="145">
        <f t="shared" si="472"/>
        <v>1.3434738284235448</v>
      </c>
      <c r="Z188" s="35">
        <f>VLOOKUP($B188,REPORTE!$B$3:$AS$200,32,FALSE)/1000000</f>
        <v>528.20000000000005</v>
      </c>
      <c r="AA188" s="36">
        <f t="shared" si="473"/>
        <v>0.21103519916896402</v>
      </c>
      <c r="AB188" s="60">
        <f t="shared" si="474"/>
        <v>0.60289680389210665</v>
      </c>
      <c r="AC188" s="35">
        <f t="shared" si="475"/>
        <v>1974.7</v>
      </c>
      <c r="AD188" s="35">
        <f>VLOOKUP($B188,REPORTE!$B$3:$AS$200,34,FALSE)/1000000</f>
        <v>521.20000000000005</v>
      </c>
      <c r="AE188" s="36">
        <f t="shared" si="476"/>
        <v>0.20823844340564945</v>
      </c>
      <c r="AF188" s="127">
        <f t="shared" si="477"/>
        <v>1.2853032681295664</v>
      </c>
    </row>
    <row r="189" spans="1:32" s="41" customFormat="1" ht="21.75" customHeight="1">
      <c r="A189" s="38" t="s">
        <v>28</v>
      </c>
      <c r="B189" s="34" t="s">
        <v>28</v>
      </c>
      <c r="C189" s="35">
        <f>VLOOKUP(B189,REPORTE!$B$3:$AS$200,26,FALSE)/1000000</f>
        <v>2731</v>
      </c>
      <c r="D189" s="35">
        <f>VLOOKUP(B189,REPORTE!$B$3:$AS$200,27,FALSE)/1000000</f>
        <v>0</v>
      </c>
      <c r="E189" s="35">
        <f>VLOOKUP(B189,REPORTE!$B$3:$AS$200,28,FALSE)/1000000</f>
        <v>0</v>
      </c>
      <c r="F189" s="35">
        <f>VLOOKUP(B189,REPORTE!$B$3:$AS$200,29,FALSE)/1000000</f>
        <v>2731</v>
      </c>
      <c r="G189" s="35">
        <f>(VLOOKUP(B189,REPORTE!$B$3:$AS$200,30,FALSE)/1000000)</f>
        <v>0</v>
      </c>
      <c r="H189" s="35">
        <f t="shared" si="459"/>
        <v>2731</v>
      </c>
      <c r="I189" s="35">
        <f t="shared" si="460"/>
        <v>955.94656533223383</v>
      </c>
      <c r="J189" s="36">
        <f t="shared" si="461"/>
        <v>0.3500353589645675</v>
      </c>
      <c r="K189" s="35">
        <f>VLOOKUP($B189,REPORTE!$B$3:$AS$200,32,FALSE)/1000000</f>
        <v>1214.7034149999999</v>
      </c>
      <c r="L189" s="36">
        <f t="shared" si="462"/>
        <v>0.44478338154522151</v>
      </c>
      <c r="M189" s="60">
        <f t="shared" si="493"/>
        <v>1.2706812902014419</v>
      </c>
      <c r="N189" s="35">
        <f t="shared" si="464"/>
        <v>1516.2965850000001</v>
      </c>
      <c r="O189" s="35">
        <f t="shared" si="465"/>
        <v>442.46303813451465</v>
      </c>
      <c r="P189" s="36">
        <f t="shared" si="466"/>
        <v>0.1620150267793902</v>
      </c>
      <c r="Q189" s="35">
        <f>VLOOKUP($B189,REPORTE!$B$3:$AS$200,34,FALSE)/1000000</f>
        <v>1076.7971439999999</v>
      </c>
      <c r="R189" s="36">
        <f t="shared" si="467"/>
        <v>0.39428676089344561</v>
      </c>
      <c r="S189" s="60">
        <f t="shared" si="468"/>
        <v>2.4336431547817545</v>
      </c>
      <c r="T189" s="35">
        <f t="shared" si="469"/>
        <v>423.30500000000001</v>
      </c>
      <c r="U189" s="40">
        <f t="shared" si="470"/>
        <v>0.155</v>
      </c>
      <c r="V189" s="35">
        <f>VLOOKUP($B189,REPORTE!$B$3:$AS$200,35,FALSE)/1000000</f>
        <v>812.98140000000001</v>
      </c>
      <c r="W189" s="36">
        <f t="shared" si="471"/>
        <v>0.29768634199926769</v>
      </c>
      <c r="X189" s="145">
        <f t="shared" si="472"/>
        <v>1.9205570451565657</v>
      </c>
      <c r="Z189" s="35">
        <f>VLOOKUP($B189,REPORTE!$B$3:$AS$200,32,FALSE)/1000000</f>
        <v>1214.7034149999999</v>
      </c>
      <c r="AA189" s="36">
        <f t="shared" si="473"/>
        <v>0.44478338154522151</v>
      </c>
      <c r="AB189" s="60">
        <f t="shared" si="474"/>
        <v>1.2706812902014419</v>
      </c>
      <c r="AC189" s="35">
        <f t="shared" si="475"/>
        <v>1516.2965850000001</v>
      </c>
      <c r="AD189" s="35">
        <f>VLOOKUP($B189,REPORTE!$B$3:$AS$200,34,FALSE)/1000000</f>
        <v>1076.7971439999999</v>
      </c>
      <c r="AE189" s="36">
        <f t="shared" si="476"/>
        <v>0.39428676089344561</v>
      </c>
      <c r="AF189" s="127">
        <f t="shared" si="477"/>
        <v>2.4336431547817545</v>
      </c>
    </row>
    <row r="190" spans="1:32" s="41" customFormat="1" ht="21.75" customHeight="1">
      <c r="A190" s="38" t="s">
        <v>29</v>
      </c>
      <c r="B190" s="34" t="s">
        <v>29</v>
      </c>
      <c r="C190" s="35">
        <f>VLOOKUP(B190,REPORTE!$B$3:$AS$200,26,FALSE)/1000000</f>
        <v>2562</v>
      </c>
      <c r="D190" s="35">
        <f>VLOOKUP(B190,REPORTE!$B$3:$AS$200,27,FALSE)/1000000</f>
        <v>0</v>
      </c>
      <c r="E190" s="35">
        <f>VLOOKUP(B190,REPORTE!$B$3:$AS$200,28,FALSE)/1000000</f>
        <v>0</v>
      </c>
      <c r="F190" s="35">
        <f>VLOOKUP(B190,REPORTE!$B$3:$AS$200,29,FALSE)/1000000</f>
        <v>2562</v>
      </c>
      <c r="G190" s="35">
        <f>(VLOOKUP(B190,REPORTE!$B$3:$AS$200,30,FALSE)/1000000)</f>
        <v>0</v>
      </c>
      <c r="H190" s="35">
        <f t="shared" si="459"/>
        <v>2562</v>
      </c>
      <c r="I190" s="35">
        <f t="shared" si="460"/>
        <v>896.79058966722198</v>
      </c>
      <c r="J190" s="36">
        <f t="shared" si="461"/>
        <v>0.3500353589645675</v>
      </c>
      <c r="K190" s="35">
        <f>VLOOKUP($B190,REPORTE!$B$3:$AS$200,32,FALSE)/1000000</f>
        <v>683.36677199999997</v>
      </c>
      <c r="L190" s="36">
        <f t="shared" si="462"/>
        <v>0.26673176112412178</v>
      </c>
      <c r="M190" s="60">
        <f t="shared" si="493"/>
        <v>0.7620137631613435</v>
      </c>
      <c r="N190" s="35">
        <f t="shared" si="464"/>
        <v>1878.6332280000001</v>
      </c>
      <c r="O190" s="35">
        <f t="shared" si="465"/>
        <v>415.08249860879766</v>
      </c>
      <c r="P190" s="36">
        <f t="shared" si="466"/>
        <v>0.1620150267793902</v>
      </c>
      <c r="Q190" s="35">
        <f>VLOOKUP($B190,REPORTE!$B$3:$AS$200,34,FALSE)/1000000</f>
        <v>668.83569999999997</v>
      </c>
      <c r="R190" s="36">
        <f t="shared" si="467"/>
        <v>0.26105999219359877</v>
      </c>
      <c r="S190" s="60">
        <f t="shared" si="468"/>
        <v>1.6113319695281993</v>
      </c>
      <c r="T190" s="35">
        <f t="shared" si="469"/>
        <v>397.11</v>
      </c>
      <c r="U190" s="40">
        <f t="shared" si="470"/>
        <v>0.155</v>
      </c>
      <c r="V190" s="35">
        <f>VLOOKUP($B190,REPORTE!$B$3:$AS$200,35,FALSE)/1000000</f>
        <v>668.83569999999997</v>
      </c>
      <c r="W190" s="36">
        <f t="shared" si="471"/>
        <v>0.26105999219359877</v>
      </c>
      <c r="X190" s="145">
        <f t="shared" si="472"/>
        <v>1.6842580141522501</v>
      </c>
      <c r="Z190" s="35">
        <f>VLOOKUP($B190,REPORTE!$B$3:$AS$200,32,FALSE)/1000000</f>
        <v>683.36677199999997</v>
      </c>
      <c r="AA190" s="36">
        <f t="shared" si="473"/>
        <v>0.26673176112412178</v>
      </c>
      <c r="AB190" s="60">
        <f t="shared" si="474"/>
        <v>0.7620137631613435</v>
      </c>
      <c r="AC190" s="35">
        <f t="shared" si="475"/>
        <v>1878.6332280000001</v>
      </c>
      <c r="AD190" s="35">
        <f>VLOOKUP($B190,REPORTE!$B$3:$AS$200,34,FALSE)/1000000</f>
        <v>668.83569999999997</v>
      </c>
      <c r="AE190" s="36">
        <f t="shared" si="476"/>
        <v>0.26105999219359877</v>
      </c>
      <c r="AF190" s="127">
        <f t="shared" si="477"/>
        <v>1.6113319695281993</v>
      </c>
    </row>
    <row r="191" spans="1:32" s="41" customFormat="1" ht="21.75" customHeight="1">
      <c r="A191" s="38" t="s">
        <v>30</v>
      </c>
      <c r="B191" s="34" t="s">
        <v>30</v>
      </c>
      <c r="C191" s="35">
        <f>VLOOKUP(B191,REPORTE!$B$3:$AS$200,26,FALSE)/1000000</f>
        <v>2232.1999999999998</v>
      </c>
      <c r="D191" s="35">
        <f>VLOOKUP(B191,REPORTE!$B$3:$AS$200,27,FALSE)/1000000</f>
        <v>0</v>
      </c>
      <c r="E191" s="35">
        <f>VLOOKUP(B191,REPORTE!$B$3:$AS$200,28,FALSE)/1000000</f>
        <v>0</v>
      </c>
      <c r="F191" s="35">
        <f>VLOOKUP(B191,REPORTE!$B$3:$AS$200,29,FALSE)/1000000</f>
        <v>2232.1999999999998</v>
      </c>
      <c r="G191" s="35">
        <f>(VLOOKUP(B191,REPORTE!$B$3:$AS$200,30,FALSE)/1000000)</f>
        <v>0</v>
      </c>
      <c r="H191" s="35">
        <f t="shared" si="459"/>
        <v>2232.1999999999998</v>
      </c>
      <c r="I191" s="35">
        <f t="shared" si="460"/>
        <v>781.34892828070747</v>
      </c>
      <c r="J191" s="36">
        <f t="shared" si="461"/>
        <v>0.3500353589645675</v>
      </c>
      <c r="K191" s="35">
        <f>VLOOKUP($B191,REPORTE!$B$3:$AS$200,32,FALSE)/1000000</f>
        <v>1081.5</v>
      </c>
      <c r="L191" s="36">
        <f t="shared" si="462"/>
        <v>0.48449959681032168</v>
      </c>
      <c r="M191" s="60">
        <f t="shared" si="493"/>
        <v>1.384144728245484</v>
      </c>
      <c r="N191" s="35">
        <f t="shared" si="464"/>
        <v>1150.6999999999998</v>
      </c>
      <c r="O191" s="35">
        <f t="shared" si="465"/>
        <v>361.64994277695479</v>
      </c>
      <c r="P191" s="36">
        <f t="shared" si="466"/>
        <v>0.1620150267793902</v>
      </c>
      <c r="Q191" s="35">
        <f>VLOOKUP($B191,REPORTE!$B$3:$AS$200,34,FALSE)/1000000</f>
        <v>1081.5</v>
      </c>
      <c r="R191" s="36">
        <f t="shared" si="467"/>
        <v>0.48449959681032168</v>
      </c>
      <c r="S191" s="60">
        <f t="shared" si="468"/>
        <v>2.9904608630534417</v>
      </c>
      <c r="T191" s="35">
        <f t="shared" si="469"/>
        <v>345.99099999999999</v>
      </c>
      <c r="U191" s="40">
        <f t="shared" si="470"/>
        <v>0.155</v>
      </c>
      <c r="V191" s="35">
        <f>VLOOKUP($B191,REPORTE!$B$3:$AS$200,35,FALSE)/1000000</f>
        <v>1081.5</v>
      </c>
      <c r="W191" s="36">
        <f t="shared" si="471"/>
        <v>0.48449959681032168</v>
      </c>
      <c r="X191" s="145">
        <f t="shared" si="472"/>
        <v>3.1258038503891723</v>
      </c>
      <c r="Z191" s="35">
        <f>VLOOKUP($B191,REPORTE!$B$3:$AS$200,32,FALSE)/1000000</f>
        <v>1081.5</v>
      </c>
      <c r="AA191" s="36">
        <f t="shared" si="473"/>
        <v>0.48449959681032168</v>
      </c>
      <c r="AB191" s="60">
        <f t="shared" si="474"/>
        <v>1.384144728245484</v>
      </c>
      <c r="AC191" s="35">
        <f t="shared" si="475"/>
        <v>1150.6999999999998</v>
      </c>
      <c r="AD191" s="35">
        <f>VLOOKUP($B191,REPORTE!$B$3:$AS$200,34,FALSE)/1000000</f>
        <v>1081.5</v>
      </c>
      <c r="AE191" s="36">
        <f t="shared" si="476"/>
        <v>0.48449959681032168</v>
      </c>
      <c r="AF191" s="127">
        <f t="shared" si="477"/>
        <v>2.9904608630534417</v>
      </c>
    </row>
    <row r="192" spans="1:32" s="41" customFormat="1" ht="21.75" customHeight="1">
      <c r="A192" s="38" t="s">
        <v>32</v>
      </c>
      <c r="B192" s="34" t="s">
        <v>32</v>
      </c>
      <c r="C192" s="35">
        <f>VLOOKUP(B192,REPORTE!$B$3:$AS$200,26,FALSE)/1000000</f>
        <v>2515</v>
      </c>
      <c r="D192" s="35">
        <f>VLOOKUP(B192,REPORTE!$B$3:$AS$200,27,FALSE)/1000000</f>
        <v>0</v>
      </c>
      <c r="E192" s="35">
        <f>VLOOKUP(B192,REPORTE!$B$3:$AS$200,28,FALSE)/1000000</f>
        <v>0</v>
      </c>
      <c r="F192" s="35">
        <f>VLOOKUP(B192,REPORTE!$B$3:$AS$200,29,FALSE)/1000000</f>
        <v>2515</v>
      </c>
      <c r="G192" s="35">
        <f>(VLOOKUP(B192,REPORTE!$B$3:$AS$200,30,FALSE)/1000000)</f>
        <v>0</v>
      </c>
      <c r="H192" s="35">
        <f t="shared" si="459"/>
        <v>2515</v>
      </c>
      <c r="I192" s="35">
        <f t="shared" si="460"/>
        <v>880.33892779588723</v>
      </c>
      <c r="J192" s="36">
        <f t="shared" si="461"/>
        <v>0.3500353589645675</v>
      </c>
      <c r="K192" s="35">
        <f>VLOOKUP($B192,REPORTE!$B$3:$AS$200,32,FALSE)/1000000</f>
        <v>764.36742900000002</v>
      </c>
      <c r="L192" s="36">
        <f t="shared" si="462"/>
        <v>0.3039234310139165</v>
      </c>
      <c r="M192" s="60">
        <f t="shared" si="493"/>
        <v>0.86826494304160085</v>
      </c>
      <c r="N192" s="35">
        <f t="shared" si="464"/>
        <v>1750.6325710000001</v>
      </c>
      <c r="O192" s="35">
        <f t="shared" si="465"/>
        <v>407.46779235016635</v>
      </c>
      <c r="P192" s="36">
        <f t="shared" si="466"/>
        <v>0.1620150267793902</v>
      </c>
      <c r="Q192" s="35">
        <f>VLOOKUP($B192,REPORTE!$B$3:$AS$200,34,FALSE)/1000000</f>
        <v>764.36742900000002</v>
      </c>
      <c r="R192" s="36">
        <f t="shared" si="467"/>
        <v>0.3039234310139165</v>
      </c>
      <c r="S192" s="60">
        <f t="shared" si="468"/>
        <v>1.8758965575937452</v>
      </c>
      <c r="T192" s="35">
        <f t="shared" si="469"/>
        <v>389.82499999999999</v>
      </c>
      <c r="U192" s="40">
        <f t="shared" si="470"/>
        <v>0.155</v>
      </c>
      <c r="V192" s="35">
        <f>VLOOKUP($B192,REPORTE!$B$3:$AS$200,35,FALSE)/1000000</f>
        <v>497.39180699999997</v>
      </c>
      <c r="W192" s="36">
        <f t="shared" si="471"/>
        <v>0.19777010218687871</v>
      </c>
      <c r="X192" s="145">
        <f t="shared" si="472"/>
        <v>1.2759361431411529</v>
      </c>
      <c r="Z192" s="35">
        <f>VLOOKUP($B192,REPORTE!$B$3:$AS$200,32,FALSE)/1000000</f>
        <v>764.36742900000002</v>
      </c>
      <c r="AA192" s="36">
        <f t="shared" si="473"/>
        <v>0.3039234310139165</v>
      </c>
      <c r="AB192" s="60">
        <f t="shared" si="474"/>
        <v>0.86826494304160085</v>
      </c>
      <c r="AC192" s="35">
        <f t="shared" si="475"/>
        <v>1750.6325710000001</v>
      </c>
      <c r="AD192" s="35">
        <f>VLOOKUP($B192,REPORTE!$B$3:$AS$200,34,FALSE)/1000000</f>
        <v>764.36742900000002</v>
      </c>
      <c r="AE192" s="36">
        <f t="shared" si="476"/>
        <v>0.3039234310139165</v>
      </c>
      <c r="AF192" s="127">
        <f t="shared" si="477"/>
        <v>1.8758965575937452</v>
      </c>
    </row>
    <row r="193" spans="1:32" s="41" customFormat="1" ht="21.75" customHeight="1">
      <c r="A193" s="38" t="s">
        <v>33</v>
      </c>
      <c r="B193" s="34" t="s">
        <v>33</v>
      </c>
      <c r="C193" s="35">
        <f>VLOOKUP(B193,REPORTE!$B$3:$AS$200,26,FALSE)/1000000</f>
        <v>2729</v>
      </c>
      <c r="D193" s="35">
        <f>VLOOKUP(B193,REPORTE!$B$3:$AS$200,27,FALSE)/1000000</f>
        <v>0</v>
      </c>
      <c r="E193" s="35">
        <f>VLOOKUP(B193,REPORTE!$B$3:$AS$200,28,FALSE)/1000000</f>
        <v>0</v>
      </c>
      <c r="F193" s="35">
        <f>VLOOKUP(B193,REPORTE!$B$3:$AS$200,29,FALSE)/1000000</f>
        <v>2729</v>
      </c>
      <c r="G193" s="35">
        <f>(VLOOKUP(B193,REPORTE!$B$3:$AS$200,30,FALSE)/1000000)</f>
        <v>0</v>
      </c>
      <c r="H193" s="35">
        <f t="shared" si="459"/>
        <v>2729</v>
      </c>
      <c r="I193" s="35">
        <f t="shared" si="460"/>
        <v>955.24649461430465</v>
      </c>
      <c r="J193" s="36">
        <f t="shared" si="461"/>
        <v>0.3500353589645675</v>
      </c>
      <c r="K193" s="35">
        <f>VLOOKUP($B193,REPORTE!$B$3:$AS$200,32,FALSE)/1000000</f>
        <v>1058.9861162</v>
      </c>
      <c r="L193" s="36">
        <f t="shared" si="462"/>
        <v>0.38804914481495051</v>
      </c>
      <c r="M193" s="60">
        <f t="shared" si="493"/>
        <v>1.1085998453494266</v>
      </c>
      <c r="N193" s="35">
        <f t="shared" si="464"/>
        <v>1670.0138838</v>
      </c>
      <c r="O193" s="35">
        <f t="shared" si="465"/>
        <v>442.13900808095588</v>
      </c>
      <c r="P193" s="36">
        <f t="shared" si="466"/>
        <v>0.1620150267793902</v>
      </c>
      <c r="Q193" s="35">
        <f>VLOOKUP($B193,REPORTE!$B$3:$AS$200,34,FALSE)/1000000</f>
        <v>933.42250000000001</v>
      </c>
      <c r="R193" s="36">
        <f t="shared" si="467"/>
        <v>0.34203829241480393</v>
      </c>
      <c r="S193" s="60">
        <f t="shared" si="468"/>
        <v>2.1111516580529575</v>
      </c>
      <c r="T193" s="35">
        <f t="shared" si="469"/>
        <v>422.995</v>
      </c>
      <c r="U193" s="40">
        <f t="shared" si="470"/>
        <v>0.155</v>
      </c>
      <c r="V193" s="35">
        <f>VLOOKUP($B193,REPORTE!$B$3:$AS$200,35,FALSE)/1000000</f>
        <v>933.42250000000001</v>
      </c>
      <c r="W193" s="36">
        <f t="shared" si="471"/>
        <v>0.34203829241480393</v>
      </c>
      <c r="X193" s="145">
        <f t="shared" si="472"/>
        <v>2.2066986607406704</v>
      </c>
      <c r="Z193" s="35">
        <f>VLOOKUP($B193,REPORTE!$B$3:$AS$200,32,FALSE)/1000000</f>
        <v>1058.9861162</v>
      </c>
      <c r="AA193" s="36">
        <f t="shared" si="473"/>
        <v>0.38804914481495051</v>
      </c>
      <c r="AB193" s="60">
        <f t="shared" si="474"/>
        <v>1.1085998453494266</v>
      </c>
      <c r="AC193" s="35">
        <f t="shared" si="475"/>
        <v>1670.0138838</v>
      </c>
      <c r="AD193" s="35">
        <f>VLOOKUP($B193,REPORTE!$B$3:$AS$200,34,FALSE)/1000000</f>
        <v>933.42250000000001</v>
      </c>
      <c r="AE193" s="36">
        <f t="shared" si="476"/>
        <v>0.34203829241480393</v>
      </c>
      <c r="AF193" s="127">
        <f t="shared" si="477"/>
        <v>2.1111516580529575</v>
      </c>
    </row>
    <row r="194" spans="1:32" s="41" customFormat="1" ht="21.75" customHeight="1">
      <c r="A194" s="38" t="s">
        <v>35</v>
      </c>
      <c r="B194" s="34" t="s">
        <v>35</v>
      </c>
      <c r="C194" s="35">
        <f>VLOOKUP(B194,REPORTE!$B$3:$AS$200,26,FALSE)/1000000</f>
        <v>5245.0263999999997</v>
      </c>
      <c r="D194" s="35">
        <f>VLOOKUP(B194,REPORTE!$B$3:$AS$200,27,FALSE)/1000000</f>
        <v>0</v>
      </c>
      <c r="E194" s="35">
        <f>VLOOKUP(B194,REPORTE!$B$3:$AS$200,28,FALSE)/1000000</f>
        <v>0</v>
      </c>
      <c r="F194" s="35">
        <f>VLOOKUP(B194,REPORTE!$B$3:$AS$200,29,FALSE)/1000000</f>
        <v>5245.0263999999997</v>
      </c>
      <c r="G194" s="35">
        <f>(VLOOKUP(B194,REPORTE!$B$3:$AS$200,30,FALSE)/1000000)</f>
        <v>0</v>
      </c>
      <c r="H194" s="35">
        <f t="shared" si="459"/>
        <v>5245.0263999999997</v>
      </c>
      <c r="I194" s="35">
        <f t="shared" si="460"/>
        <v>1835.9446987026331</v>
      </c>
      <c r="J194" s="36">
        <f t="shared" si="461"/>
        <v>0.3500353589645675</v>
      </c>
      <c r="K194" s="35">
        <f>VLOOKUP($B194,REPORTE!$B$3:$AS$200,32,FALSE)/1000000</f>
        <v>1258.46406</v>
      </c>
      <c r="L194" s="36">
        <f t="shared" si="462"/>
        <v>0.23993474274981724</v>
      </c>
      <c r="M194" s="60">
        <f t="shared" si="493"/>
        <v>0.68545858755402123</v>
      </c>
      <c r="N194" s="35">
        <f t="shared" si="464"/>
        <v>3986.5623399999995</v>
      </c>
      <c r="O194" s="35">
        <f t="shared" si="465"/>
        <v>849.77309265460849</v>
      </c>
      <c r="P194" s="36">
        <f t="shared" si="466"/>
        <v>0.1620150267793902</v>
      </c>
      <c r="Q194" s="35">
        <f>VLOOKUP($B194,REPORTE!$B$3:$AS$200,34,FALSE)/1000000</f>
        <v>1258.46406</v>
      </c>
      <c r="R194" s="36">
        <f t="shared" si="467"/>
        <v>0.23993474274981724</v>
      </c>
      <c r="S194" s="60">
        <f t="shared" si="468"/>
        <v>1.4809412899491565</v>
      </c>
      <c r="T194" s="35">
        <f t="shared" si="469"/>
        <v>812.97909199999992</v>
      </c>
      <c r="U194" s="40">
        <f t="shared" si="470"/>
        <v>0.155</v>
      </c>
      <c r="V194" s="35">
        <f>VLOOKUP($B194,REPORTE!$B$3:$AS$200,35,FALSE)/1000000</f>
        <v>1165.0354600000001</v>
      </c>
      <c r="W194" s="36">
        <f t="shared" si="471"/>
        <v>0.22212194394293233</v>
      </c>
      <c r="X194" s="145">
        <f t="shared" si="472"/>
        <v>1.4330447996318214</v>
      </c>
      <c r="Z194" s="35">
        <f>VLOOKUP($B194,REPORTE!$B$3:$AS$200,32,FALSE)/1000000</f>
        <v>1258.46406</v>
      </c>
      <c r="AA194" s="36">
        <f t="shared" si="473"/>
        <v>0.23993474274981724</v>
      </c>
      <c r="AB194" s="60">
        <f t="shared" si="474"/>
        <v>0.68545858755402123</v>
      </c>
      <c r="AC194" s="35">
        <f t="shared" si="475"/>
        <v>3986.5623399999995</v>
      </c>
      <c r="AD194" s="35">
        <f>VLOOKUP($B194,REPORTE!$B$3:$AS$200,34,FALSE)/1000000</f>
        <v>1258.46406</v>
      </c>
      <c r="AE194" s="36">
        <f t="shared" si="476"/>
        <v>0.23993474274981724</v>
      </c>
      <c r="AF194" s="127">
        <f t="shared" si="477"/>
        <v>1.4809412899491565</v>
      </c>
    </row>
    <row r="195" spans="1:32" s="41" customFormat="1" ht="21.75" customHeight="1">
      <c r="A195" s="38" t="s">
        <v>36</v>
      </c>
      <c r="B195" s="34" t="s">
        <v>36</v>
      </c>
      <c r="C195" s="35">
        <f>VLOOKUP(B195,REPORTE!$B$3:$AS$200,26,FALSE)/1000000</f>
        <v>2458.5</v>
      </c>
      <c r="D195" s="35">
        <f>VLOOKUP(B195,REPORTE!$B$3:$AS$200,27,FALSE)/1000000</f>
        <v>0</v>
      </c>
      <c r="E195" s="35">
        <f>VLOOKUP(B195,REPORTE!$B$3:$AS$200,28,FALSE)/1000000</f>
        <v>0</v>
      </c>
      <c r="F195" s="35">
        <f>VLOOKUP(B195,REPORTE!$B$3:$AS$200,29,FALSE)/1000000</f>
        <v>2458.5</v>
      </c>
      <c r="G195" s="35">
        <f>(VLOOKUP(B195,REPORTE!$B$3:$AS$200,30,FALSE)/1000000)</f>
        <v>0</v>
      </c>
      <c r="H195" s="35">
        <f t="shared" si="459"/>
        <v>2458.5</v>
      </c>
      <c r="I195" s="35">
        <f t="shared" si="460"/>
        <v>860.56193001438919</v>
      </c>
      <c r="J195" s="36">
        <f t="shared" si="461"/>
        <v>0.3500353589645675</v>
      </c>
      <c r="K195" s="35">
        <f>VLOOKUP($B195,REPORTE!$B$3:$AS$200,32,FALSE)/1000000</f>
        <v>441.645128</v>
      </c>
      <c r="L195" s="36">
        <f t="shared" si="462"/>
        <v>0.1796400764693919</v>
      </c>
      <c r="M195" s="60">
        <f t="shared" si="493"/>
        <v>0.51320551443940288</v>
      </c>
      <c r="N195" s="35">
        <f t="shared" si="464"/>
        <v>2016.8548719999999</v>
      </c>
      <c r="O195" s="35">
        <f t="shared" si="465"/>
        <v>398.31394333713081</v>
      </c>
      <c r="P195" s="36">
        <f t="shared" si="466"/>
        <v>0.1620150267793902</v>
      </c>
      <c r="Q195" s="35">
        <f>VLOOKUP($B195,REPORTE!$B$3:$AS$200,34,FALSE)/1000000</f>
        <v>216.76031699999999</v>
      </c>
      <c r="R195" s="36">
        <f t="shared" si="467"/>
        <v>8.8167710799267843E-2</v>
      </c>
      <c r="S195" s="60">
        <f t="shared" si="468"/>
        <v>0.54419465003899004</v>
      </c>
      <c r="T195" s="35">
        <f t="shared" si="469"/>
        <v>381.0675</v>
      </c>
      <c r="U195" s="40">
        <f t="shared" si="470"/>
        <v>0.155</v>
      </c>
      <c r="V195" s="35">
        <f>VLOOKUP($B195,REPORTE!$B$3:$AS$200,35,FALSE)/1000000</f>
        <v>0</v>
      </c>
      <c r="W195" s="36">
        <f t="shared" si="471"/>
        <v>0</v>
      </c>
      <c r="X195" s="145">
        <f t="shared" si="472"/>
        <v>0</v>
      </c>
      <c r="Z195" s="35">
        <f>VLOOKUP($B195,REPORTE!$B$3:$AS$200,32,FALSE)/1000000</f>
        <v>441.645128</v>
      </c>
      <c r="AA195" s="36">
        <f t="shared" si="473"/>
        <v>0.1796400764693919</v>
      </c>
      <c r="AB195" s="60">
        <f t="shared" si="474"/>
        <v>0.51320551443940288</v>
      </c>
      <c r="AC195" s="35">
        <f t="shared" si="475"/>
        <v>2016.8548719999999</v>
      </c>
      <c r="AD195" s="35">
        <f>VLOOKUP($B195,REPORTE!$B$3:$AS$200,34,FALSE)/1000000</f>
        <v>216.76031699999999</v>
      </c>
      <c r="AE195" s="36">
        <f t="shared" si="476"/>
        <v>8.8167710799267843E-2</v>
      </c>
      <c r="AF195" s="127">
        <f t="shared" si="477"/>
        <v>0.54419465003899004</v>
      </c>
    </row>
    <row r="196" spans="1:32" s="41" customFormat="1" ht="21.75" customHeight="1">
      <c r="A196" s="38" t="s">
        <v>37</v>
      </c>
      <c r="B196" s="34" t="s">
        <v>37</v>
      </c>
      <c r="C196" s="35">
        <f>VLOOKUP(B196,REPORTE!$B$3:$AS$200,26,FALSE)/1000000</f>
        <v>2479</v>
      </c>
      <c r="D196" s="35">
        <f>VLOOKUP(B196,REPORTE!$B$3:$AS$200,27,FALSE)/1000000</f>
        <v>0</v>
      </c>
      <c r="E196" s="35">
        <f>VLOOKUP(B196,REPORTE!$B$3:$AS$200,28,FALSE)/1000000</f>
        <v>0</v>
      </c>
      <c r="F196" s="35">
        <f>VLOOKUP(B196,REPORTE!$B$3:$AS$200,29,FALSE)/1000000</f>
        <v>2479</v>
      </c>
      <c r="G196" s="35">
        <f>(VLOOKUP(B196,REPORTE!$B$3:$AS$200,30,FALSE)/1000000)</f>
        <v>0</v>
      </c>
      <c r="H196" s="35">
        <f t="shared" si="459"/>
        <v>2479</v>
      </c>
      <c r="I196" s="35">
        <f t="shared" si="460"/>
        <v>867.7376548731628</v>
      </c>
      <c r="J196" s="36">
        <f t="shared" si="461"/>
        <v>0.3500353589645675</v>
      </c>
      <c r="K196" s="35">
        <f>VLOOKUP($B196,REPORTE!$B$3:$AS$200,32,FALSE)/1000000</f>
        <v>824.75946003999991</v>
      </c>
      <c r="L196" s="36">
        <f t="shared" si="462"/>
        <v>0.33269845100443723</v>
      </c>
      <c r="M196" s="60">
        <f t="shared" si="493"/>
        <v>0.95047098095628335</v>
      </c>
      <c r="N196" s="35">
        <f t="shared" si="464"/>
        <v>1654.2405399600002</v>
      </c>
      <c r="O196" s="35">
        <f t="shared" si="465"/>
        <v>401.63525138610828</v>
      </c>
      <c r="P196" s="36">
        <f t="shared" si="466"/>
        <v>0.1620150267793902</v>
      </c>
      <c r="Q196" s="35">
        <f>VLOOKUP($B196,REPORTE!$B$3:$AS$200,34,FALSE)/1000000</f>
        <v>821.19017004</v>
      </c>
      <c r="R196" s="36">
        <f t="shared" si="467"/>
        <v>0.33125864059701493</v>
      </c>
      <c r="S196" s="60">
        <f t="shared" si="468"/>
        <v>2.0446167690857306</v>
      </c>
      <c r="T196" s="35">
        <f t="shared" si="469"/>
        <v>384.245</v>
      </c>
      <c r="U196" s="40">
        <f t="shared" si="470"/>
        <v>0.155</v>
      </c>
      <c r="V196" s="35">
        <f>VLOOKUP($B196,REPORTE!$B$3:$AS$200,35,FALSE)/1000000</f>
        <v>821.19017004</v>
      </c>
      <c r="W196" s="36">
        <f t="shared" si="471"/>
        <v>0.33125864059701493</v>
      </c>
      <c r="X196" s="145">
        <f t="shared" si="472"/>
        <v>2.1371525199807415</v>
      </c>
      <c r="Z196" s="35">
        <f>VLOOKUP($B196,REPORTE!$B$3:$AS$200,32,FALSE)/1000000</f>
        <v>824.75946003999991</v>
      </c>
      <c r="AA196" s="36">
        <f t="shared" si="473"/>
        <v>0.33269845100443723</v>
      </c>
      <c r="AB196" s="60">
        <f t="shared" si="474"/>
        <v>0.95047098095628335</v>
      </c>
      <c r="AC196" s="35">
        <f t="shared" si="475"/>
        <v>1654.2405399600002</v>
      </c>
      <c r="AD196" s="35">
        <f>VLOOKUP($B196,REPORTE!$B$3:$AS$200,34,FALSE)/1000000</f>
        <v>821.19017004</v>
      </c>
      <c r="AE196" s="36">
        <f t="shared" si="476"/>
        <v>0.33125864059701493</v>
      </c>
      <c r="AF196" s="127">
        <f t="shared" si="477"/>
        <v>2.0446167690857306</v>
      </c>
    </row>
    <row r="197" spans="1:32" s="41" customFormat="1" ht="21.75" customHeight="1">
      <c r="A197" s="38" t="s">
        <v>38</v>
      </c>
      <c r="B197" s="34" t="s">
        <v>38</v>
      </c>
      <c r="C197" s="35">
        <f>VLOOKUP(B197,REPORTE!$B$3:$AS$200,26,FALSE)/1000000</f>
        <v>3175</v>
      </c>
      <c r="D197" s="35">
        <f>VLOOKUP(B197,REPORTE!$B$3:$AS$200,27,FALSE)/1000000</f>
        <v>0</v>
      </c>
      <c r="E197" s="35">
        <f>VLOOKUP(B197,REPORTE!$B$3:$AS$200,28,FALSE)/1000000</f>
        <v>0</v>
      </c>
      <c r="F197" s="35">
        <f>VLOOKUP(B197,REPORTE!$B$3:$AS$200,29,FALSE)/1000000</f>
        <v>3175</v>
      </c>
      <c r="G197" s="35">
        <f>(VLOOKUP(B197,REPORTE!$B$3:$AS$200,30,FALSE)/1000000)</f>
        <v>0</v>
      </c>
      <c r="H197" s="35">
        <f t="shared" si="459"/>
        <v>3175</v>
      </c>
      <c r="I197" s="35">
        <f t="shared" si="460"/>
        <v>1111.3622647125019</v>
      </c>
      <c r="J197" s="36">
        <f t="shared" si="461"/>
        <v>0.3500353589645675</v>
      </c>
      <c r="K197" s="35">
        <f>VLOOKUP($B197,REPORTE!$B$3:$AS$200,32,FALSE)/1000000</f>
        <v>763</v>
      </c>
      <c r="L197" s="36">
        <f t="shared" si="462"/>
        <v>0.24031496062992125</v>
      </c>
      <c r="M197" s="60">
        <f t="shared" si="493"/>
        <v>0.68654481461756334</v>
      </c>
      <c r="N197" s="35">
        <f t="shared" si="464"/>
        <v>2412</v>
      </c>
      <c r="O197" s="35">
        <f t="shared" si="465"/>
        <v>514.39771002456382</v>
      </c>
      <c r="P197" s="36">
        <f t="shared" si="466"/>
        <v>0.1620150267793902</v>
      </c>
      <c r="Q197" s="35">
        <f>VLOOKUP($B197,REPORTE!$B$3:$AS$200,34,FALSE)/1000000</f>
        <v>763</v>
      </c>
      <c r="R197" s="36">
        <f t="shared" si="467"/>
        <v>0.24031496062992125</v>
      </c>
      <c r="S197" s="60">
        <f t="shared" si="468"/>
        <v>1.4832880962156008</v>
      </c>
      <c r="T197" s="35">
        <f t="shared" si="469"/>
        <v>492.125</v>
      </c>
      <c r="U197" s="40">
        <f t="shared" si="470"/>
        <v>0.155</v>
      </c>
      <c r="V197" s="35">
        <f>VLOOKUP($B197,REPORTE!$B$3:$AS$200,35,FALSE)/1000000</f>
        <v>763</v>
      </c>
      <c r="W197" s="36">
        <f t="shared" si="471"/>
        <v>0.24031496062992125</v>
      </c>
      <c r="X197" s="145">
        <f t="shared" si="472"/>
        <v>1.5504191008382016</v>
      </c>
      <c r="Z197" s="35">
        <f>VLOOKUP($B197,REPORTE!$B$3:$AS$200,32,FALSE)/1000000</f>
        <v>763</v>
      </c>
      <c r="AA197" s="36">
        <f t="shared" si="473"/>
        <v>0.24031496062992125</v>
      </c>
      <c r="AB197" s="60">
        <f t="shared" si="474"/>
        <v>0.68654481461756334</v>
      </c>
      <c r="AC197" s="35">
        <f t="shared" si="475"/>
        <v>2412</v>
      </c>
      <c r="AD197" s="35">
        <f>VLOOKUP($B197,REPORTE!$B$3:$AS$200,34,FALSE)/1000000</f>
        <v>763</v>
      </c>
      <c r="AE197" s="36">
        <f t="shared" si="476"/>
        <v>0.24031496062992125</v>
      </c>
      <c r="AF197" s="127">
        <f t="shared" si="477"/>
        <v>1.4832880962156008</v>
      </c>
    </row>
    <row r="198" spans="1:32" s="41" customFormat="1" ht="21.75" customHeight="1">
      <c r="A198" s="38" t="s">
        <v>39</v>
      </c>
      <c r="B198" s="34" t="s">
        <v>39</v>
      </c>
      <c r="C198" s="35">
        <f>VLOOKUP(B198,REPORTE!$B$3:$AS$200,26,FALSE)/1000000</f>
        <v>4164</v>
      </c>
      <c r="D198" s="35">
        <f>VLOOKUP(B198,REPORTE!$B$3:$AS$200,27,FALSE)/1000000</f>
        <v>0</v>
      </c>
      <c r="E198" s="35">
        <f>VLOOKUP(B198,REPORTE!$B$3:$AS$200,28,FALSE)/1000000</f>
        <v>0</v>
      </c>
      <c r="F198" s="35">
        <f>VLOOKUP(B198,REPORTE!$B$3:$AS$200,29,FALSE)/1000000</f>
        <v>4164</v>
      </c>
      <c r="G198" s="35">
        <f>(VLOOKUP(B198,REPORTE!$B$3:$AS$200,30,FALSE)/1000000)</f>
        <v>0</v>
      </c>
      <c r="H198" s="35">
        <f t="shared" si="459"/>
        <v>4164</v>
      </c>
      <c r="I198" s="35">
        <f t="shared" si="460"/>
        <v>1457.547234728459</v>
      </c>
      <c r="J198" s="36">
        <f t="shared" si="461"/>
        <v>0.3500353589645675</v>
      </c>
      <c r="K198" s="35">
        <f>VLOOKUP($B198,REPORTE!$B$3:$AS$200,32,FALSE)/1000000</f>
        <v>869.44315800000004</v>
      </c>
      <c r="L198" s="36">
        <f t="shared" si="462"/>
        <v>0.20879998991354468</v>
      </c>
      <c r="M198" s="60">
        <f t="shared" si="493"/>
        <v>0.59651113684969337</v>
      </c>
      <c r="N198" s="35">
        <f t="shared" si="464"/>
        <v>3294.556842</v>
      </c>
      <c r="O198" s="35">
        <f t="shared" si="465"/>
        <v>674.63057150938073</v>
      </c>
      <c r="P198" s="36">
        <f t="shared" si="466"/>
        <v>0.1620150267793902</v>
      </c>
      <c r="Q198" s="35">
        <f>VLOOKUP($B198,REPORTE!$B$3:$AS$200,34,FALSE)/1000000</f>
        <v>830.44315800000004</v>
      </c>
      <c r="R198" s="36">
        <f t="shared" si="467"/>
        <v>0.19943399567723344</v>
      </c>
      <c r="S198" s="60">
        <f t="shared" si="468"/>
        <v>1.2309598661412762</v>
      </c>
      <c r="T198" s="35">
        <f t="shared" si="469"/>
        <v>645.41999999999996</v>
      </c>
      <c r="U198" s="40">
        <f t="shared" si="470"/>
        <v>0.155</v>
      </c>
      <c r="V198" s="35">
        <f>VLOOKUP($B198,REPORTE!$B$3:$AS$200,35,FALSE)/1000000</f>
        <v>830.44315800000004</v>
      </c>
      <c r="W198" s="36">
        <f t="shared" si="471"/>
        <v>0.19943399567723344</v>
      </c>
      <c r="X198" s="145">
        <f t="shared" si="472"/>
        <v>1.2866709398531189</v>
      </c>
      <c r="Z198" s="35">
        <f>VLOOKUP($B198,REPORTE!$B$3:$AS$200,32,FALSE)/1000000</f>
        <v>869.44315800000004</v>
      </c>
      <c r="AA198" s="36">
        <f t="shared" si="473"/>
        <v>0.20879998991354468</v>
      </c>
      <c r="AB198" s="60">
        <f t="shared" si="474"/>
        <v>0.59651113684969337</v>
      </c>
      <c r="AC198" s="35">
        <f t="shared" si="475"/>
        <v>3294.556842</v>
      </c>
      <c r="AD198" s="35">
        <f>VLOOKUP($B198,REPORTE!$B$3:$AS$200,34,FALSE)/1000000</f>
        <v>830.44315800000004</v>
      </c>
      <c r="AE198" s="36">
        <f t="shared" si="476"/>
        <v>0.19943399567723344</v>
      </c>
      <c r="AF198" s="127">
        <f t="shared" si="477"/>
        <v>1.2309598661412762</v>
      </c>
    </row>
    <row r="199" spans="1:32" s="41" customFormat="1" ht="21.75" customHeight="1">
      <c r="A199" s="38" t="s">
        <v>40</v>
      </c>
      <c r="B199" s="34" t="s">
        <v>40</v>
      </c>
      <c r="C199" s="35">
        <f>VLOOKUP(B199,REPORTE!$B$3:$AS$200,26,FALSE)/1000000</f>
        <v>4183.3</v>
      </c>
      <c r="D199" s="35">
        <f>VLOOKUP(B199,REPORTE!$B$3:$AS$200,27,FALSE)/1000000</f>
        <v>0</v>
      </c>
      <c r="E199" s="35">
        <f>VLOOKUP(B199,REPORTE!$B$3:$AS$200,28,FALSE)/1000000</f>
        <v>0</v>
      </c>
      <c r="F199" s="35">
        <f>VLOOKUP(B199,REPORTE!$B$3:$AS$200,29,FALSE)/1000000</f>
        <v>4183.3</v>
      </c>
      <c r="G199" s="35">
        <f>(VLOOKUP(B199,REPORTE!$B$3:$AS$200,30,FALSE)/1000000)</f>
        <v>0</v>
      </c>
      <c r="H199" s="35">
        <f t="shared" si="459"/>
        <v>4183.3</v>
      </c>
      <c r="I199" s="35">
        <f t="shared" si="460"/>
        <v>1464.3029171564754</v>
      </c>
      <c r="J199" s="36">
        <f t="shared" si="461"/>
        <v>0.3500353589645675</v>
      </c>
      <c r="K199" s="35">
        <f>VLOOKUP($B199,REPORTE!$B$3:$AS$200,32,FALSE)/1000000</f>
        <v>1900</v>
      </c>
      <c r="L199" s="36">
        <f t="shared" si="462"/>
        <v>0.45418688595128248</v>
      </c>
      <c r="M199" s="60">
        <f t="shared" si="493"/>
        <v>1.2975457316506638</v>
      </c>
      <c r="N199" s="35">
        <f t="shared" si="464"/>
        <v>2283.3000000000002</v>
      </c>
      <c r="O199" s="35">
        <f t="shared" si="465"/>
        <v>677.7574615262231</v>
      </c>
      <c r="P199" s="36">
        <f t="shared" si="466"/>
        <v>0.1620150267793902</v>
      </c>
      <c r="Q199" s="35">
        <f>VLOOKUP($B199,REPORTE!$B$3:$AS$200,34,FALSE)/1000000</f>
        <v>1900</v>
      </c>
      <c r="R199" s="36">
        <f t="shared" si="467"/>
        <v>0.45418688595128248</v>
      </c>
      <c r="S199" s="60">
        <f t="shared" si="468"/>
        <v>2.8033627187540557</v>
      </c>
      <c r="T199" s="35">
        <f t="shared" si="469"/>
        <v>648.41150000000005</v>
      </c>
      <c r="U199" s="40">
        <f t="shared" si="470"/>
        <v>0.155</v>
      </c>
      <c r="V199" s="35">
        <f>VLOOKUP($B199,REPORTE!$B$3:$AS$200,35,FALSE)/1000000</f>
        <v>1900</v>
      </c>
      <c r="W199" s="36">
        <f t="shared" si="471"/>
        <v>0.45418688595128248</v>
      </c>
      <c r="X199" s="145">
        <f t="shared" si="472"/>
        <v>2.9302379738792417</v>
      </c>
      <c r="Z199" s="35">
        <f>VLOOKUP($B199,REPORTE!$B$3:$AS$200,32,FALSE)/1000000</f>
        <v>1900</v>
      </c>
      <c r="AA199" s="36">
        <f t="shared" si="473"/>
        <v>0.45418688595128248</v>
      </c>
      <c r="AB199" s="60">
        <f t="shared" si="474"/>
        <v>1.2975457316506638</v>
      </c>
      <c r="AC199" s="35">
        <f t="shared" si="475"/>
        <v>2283.3000000000002</v>
      </c>
      <c r="AD199" s="35">
        <f>VLOOKUP($B199,REPORTE!$B$3:$AS$200,34,FALSE)/1000000</f>
        <v>1900</v>
      </c>
      <c r="AE199" s="36">
        <f t="shared" si="476"/>
        <v>0.45418688595128248</v>
      </c>
      <c r="AF199" s="127">
        <f t="shared" si="477"/>
        <v>2.8033627187540557</v>
      </c>
    </row>
    <row r="200" spans="1:32" s="41" customFormat="1" ht="21.75" customHeight="1">
      <c r="A200" s="38" t="s">
        <v>41</v>
      </c>
      <c r="B200" s="34" t="s">
        <v>41</v>
      </c>
      <c r="C200" s="35">
        <f>VLOOKUP(B200,REPORTE!$B$3:$AS$200,26,FALSE)/1000000</f>
        <v>2417</v>
      </c>
      <c r="D200" s="35">
        <f>VLOOKUP(B200,REPORTE!$B$3:$AS$200,27,FALSE)/1000000</f>
        <v>0</v>
      </c>
      <c r="E200" s="35">
        <f>VLOOKUP(B200,REPORTE!$B$3:$AS$200,28,FALSE)/1000000</f>
        <v>0</v>
      </c>
      <c r="F200" s="35">
        <f>VLOOKUP(B200,REPORTE!$B$3:$AS$200,29,FALSE)/1000000</f>
        <v>2417</v>
      </c>
      <c r="G200" s="35">
        <f>(VLOOKUP(B200,REPORTE!$B$3:$AS$200,30,FALSE)/1000000)</f>
        <v>0</v>
      </c>
      <c r="H200" s="35">
        <f t="shared" si="459"/>
        <v>2417</v>
      </c>
      <c r="I200" s="35">
        <f t="shared" si="460"/>
        <v>846.0354626173596</v>
      </c>
      <c r="J200" s="36">
        <f t="shared" si="461"/>
        <v>0.3500353589645675</v>
      </c>
      <c r="K200" s="35">
        <f>VLOOKUP($B200,REPORTE!$B$3:$AS$200,32,FALSE)/1000000</f>
        <v>547.47520299999996</v>
      </c>
      <c r="L200" s="36">
        <f t="shared" si="462"/>
        <v>0.2265102205213074</v>
      </c>
      <c r="M200" s="60">
        <f t="shared" si="493"/>
        <v>0.64710668428281848</v>
      </c>
      <c r="N200" s="35">
        <f t="shared" si="464"/>
        <v>1869.524797</v>
      </c>
      <c r="O200" s="35">
        <f t="shared" si="465"/>
        <v>391.59031972578612</v>
      </c>
      <c r="P200" s="36">
        <f t="shared" si="466"/>
        <v>0.1620150267793902</v>
      </c>
      <c r="Q200" s="35">
        <f>VLOOKUP($B200,REPORTE!$B$3:$AS$200,34,FALSE)/1000000</f>
        <v>547.47520299999996</v>
      </c>
      <c r="R200" s="36">
        <f t="shared" si="467"/>
        <v>0.2265102205213074</v>
      </c>
      <c r="S200" s="60">
        <f t="shared" si="468"/>
        <v>1.398081554680344</v>
      </c>
      <c r="T200" s="35">
        <f t="shared" si="469"/>
        <v>374.63499999999999</v>
      </c>
      <c r="U200" s="40">
        <f t="shared" si="470"/>
        <v>0.155</v>
      </c>
      <c r="V200" s="35">
        <f>VLOOKUP($B200,REPORTE!$B$3:$AS$200,35,FALSE)/1000000</f>
        <v>547.47520299999996</v>
      </c>
      <c r="W200" s="36">
        <f t="shared" si="471"/>
        <v>0.2265102205213074</v>
      </c>
      <c r="X200" s="145">
        <f t="shared" si="472"/>
        <v>1.4613562614277897</v>
      </c>
      <c r="Z200" s="35">
        <f>VLOOKUP($B200,REPORTE!$B$3:$AS$200,32,FALSE)/1000000</f>
        <v>547.47520299999996</v>
      </c>
      <c r="AA200" s="36">
        <f t="shared" si="473"/>
        <v>0.2265102205213074</v>
      </c>
      <c r="AB200" s="60">
        <f t="shared" si="474"/>
        <v>0.64710668428281848</v>
      </c>
      <c r="AC200" s="35">
        <f t="shared" si="475"/>
        <v>1869.524797</v>
      </c>
      <c r="AD200" s="35">
        <f>VLOOKUP($B200,REPORTE!$B$3:$AS$200,34,FALSE)/1000000</f>
        <v>547.47520299999996</v>
      </c>
      <c r="AE200" s="36">
        <f t="shared" si="476"/>
        <v>0.2265102205213074</v>
      </c>
      <c r="AF200" s="127">
        <f t="shared" si="477"/>
        <v>1.398081554680344</v>
      </c>
    </row>
    <row r="201" spans="1:32" s="41" customFormat="1" ht="21.75" customHeight="1">
      <c r="A201" s="38" t="s">
        <v>42</v>
      </c>
      <c r="B201" s="34" t="s">
        <v>42</v>
      </c>
      <c r="C201" s="35">
        <f>VLOOKUP(B201,REPORTE!$B$3:$AS$200,26,FALSE)/1000000</f>
        <v>4011.3</v>
      </c>
      <c r="D201" s="35">
        <f>VLOOKUP(B201,REPORTE!$B$3:$AS$200,27,FALSE)/1000000</f>
        <v>0</v>
      </c>
      <c r="E201" s="35">
        <f>VLOOKUP(B201,REPORTE!$B$3:$AS$200,28,FALSE)/1000000</f>
        <v>0</v>
      </c>
      <c r="F201" s="35">
        <f>VLOOKUP(B201,REPORTE!$B$3:$AS$200,29,FALSE)/1000000</f>
        <v>4011.3</v>
      </c>
      <c r="G201" s="35">
        <f>(VLOOKUP(B201,REPORTE!$B$3:$AS$200,30,FALSE)/1000000)</f>
        <v>0</v>
      </c>
      <c r="H201" s="35">
        <f t="shared" si="459"/>
        <v>4011.3</v>
      </c>
      <c r="I201" s="35">
        <f t="shared" si="460"/>
        <v>1404.0968354145696</v>
      </c>
      <c r="J201" s="36">
        <f t="shared" si="461"/>
        <v>0.3500353589645675</v>
      </c>
      <c r="K201" s="35">
        <f>VLOOKUP($B201,REPORTE!$B$3:$AS$200,32,FALSE)/1000000</f>
        <v>0</v>
      </c>
      <c r="L201" s="36">
        <f t="shared" si="462"/>
        <v>0</v>
      </c>
      <c r="M201" s="60">
        <f t="shared" si="493"/>
        <v>0</v>
      </c>
      <c r="N201" s="35">
        <f t="shared" si="464"/>
        <v>4011.3</v>
      </c>
      <c r="O201" s="35">
        <f t="shared" si="465"/>
        <v>649.8908769201679</v>
      </c>
      <c r="P201" s="36">
        <f t="shared" si="466"/>
        <v>0.1620150267793902</v>
      </c>
      <c r="Q201" s="35">
        <f>VLOOKUP($B201,REPORTE!$B$3:$AS$200,34,FALSE)/1000000</f>
        <v>0</v>
      </c>
      <c r="R201" s="36">
        <f t="shared" si="467"/>
        <v>0</v>
      </c>
      <c r="S201" s="60">
        <f t="shared" si="468"/>
        <v>0</v>
      </c>
      <c r="T201" s="35">
        <f t="shared" si="469"/>
        <v>621.75150000000008</v>
      </c>
      <c r="U201" s="40">
        <f t="shared" si="470"/>
        <v>0.155</v>
      </c>
      <c r="V201" s="35">
        <f>VLOOKUP($B201,REPORTE!$B$3:$AS$200,35,FALSE)/1000000</f>
        <v>0</v>
      </c>
      <c r="W201" s="36">
        <f t="shared" si="471"/>
        <v>0</v>
      </c>
      <c r="X201" s="145">
        <f t="shared" si="472"/>
        <v>0</v>
      </c>
      <c r="Z201" s="35">
        <f>VLOOKUP($B201,REPORTE!$B$3:$AS$200,32,FALSE)/1000000</f>
        <v>0</v>
      </c>
      <c r="AA201" s="36">
        <f t="shared" si="473"/>
        <v>0</v>
      </c>
      <c r="AB201" s="60">
        <f t="shared" si="474"/>
        <v>0</v>
      </c>
      <c r="AC201" s="35">
        <f t="shared" si="475"/>
        <v>4011.3</v>
      </c>
      <c r="AD201" s="35">
        <f>VLOOKUP($B201,REPORTE!$B$3:$AS$200,34,FALSE)/1000000</f>
        <v>0</v>
      </c>
      <c r="AE201" s="36">
        <f t="shared" si="476"/>
        <v>0</v>
      </c>
      <c r="AF201" s="127">
        <f t="shared" si="477"/>
        <v>0</v>
      </c>
    </row>
    <row r="202" spans="1:32" s="41" customFormat="1" ht="21.6" customHeight="1">
      <c r="A202" s="38" t="s">
        <v>43</v>
      </c>
      <c r="B202" s="34" t="s">
        <v>43</v>
      </c>
      <c r="C202" s="35">
        <f>VLOOKUP(B202,REPORTE!$B$3:$AS$200,26,FALSE)/1000000</f>
        <v>840.57500000000005</v>
      </c>
      <c r="D202" s="35">
        <f>VLOOKUP(B202,REPORTE!$B$3:$AS$200,27,FALSE)/1000000</f>
        <v>0</v>
      </c>
      <c r="E202" s="35">
        <f>VLOOKUP(B202,REPORTE!$B$3:$AS$200,28,FALSE)/1000000</f>
        <v>0</v>
      </c>
      <c r="F202" s="35">
        <f>VLOOKUP(B202,REPORTE!$B$3:$AS$200,29,FALSE)/1000000</f>
        <v>840.57500000000005</v>
      </c>
      <c r="G202" s="35">
        <f>(VLOOKUP(B202,REPORTE!$B$3:$AS$200,30,FALSE)/1000000)</f>
        <v>0</v>
      </c>
      <c r="H202" s="35">
        <f t="shared" si="459"/>
        <v>840.57500000000005</v>
      </c>
      <c r="I202" s="35">
        <f t="shared" si="460"/>
        <v>294.23097186164136</v>
      </c>
      <c r="J202" s="36">
        <f t="shared" si="461"/>
        <v>0.3500353589645675</v>
      </c>
      <c r="K202" s="35">
        <f>VLOOKUP($B202,REPORTE!$B$3:$AS$200,32,FALSE)/1000000</f>
        <v>103.942155</v>
      </c>
      <c r="L202" s="36">
        <f t="shared" si="462"/>
        <v>0.12365601522767153</v>
      </c>
      <c r="M202" s="60">
        <f t="shared" si="493"/>
        <v>0.35326721161386632</v>
      </c>
      <c r="N202" s="35">
        <f t="shared" si="464"/>
        <v>736.63284500000009</v>
      </c>
      <c r="O202" s="35">
        <f t="shared" si="465"/>
        <v>136.18578113508593</v>
      </c>
      <c r="P202" s="36">
        <f t="shared" si="466"/>
        <v>0.1620150267793902</v>
      </c>
      <c r="Q202" s="35">
        <f>VLOOKUP($B202,REPORTE!$B$3:$AS$200,34,FALSE)/1000000</f>
        <v>100</v>
      </c>
      <c r="R202" s="36">
        <f t="shared" si="467"/>
        <v>0.11896618386223715</v>
      </c>
      <c r="S202" s="60">
        <f t="shared" si="468"/>
        <v>0.73429104834966297</v>
      </c>
      <c r="T202" s="35">
        <f t="shared" si="469"/>
        <v>130.28912500000001</v>
      </c>
      <c r="U202" s="40">
        <f t="shared" si="470"/>
        <v>0.155</v>
      </c>
      <c r="V202" s="35">
        <f>VLOOKUP($B202,REPORTE!$B$3:$AS$200,35,FALSE)/1000000</f>
        <v>100</v>
      </c>
      <c r="W202" s="36">
        <f t="shared" si="471"/>
        <v>0.11896618386223715</v>
      </c>
      <c r="X202" s="145">
        <f t="shared" si="472"/>
        <v>0.76752376685314283</v>
      </c>
      <c r="Z202" s="35">
        <f>VLOOKUP($B202,REPORTE!$B$3:$AS$200,32,FALSE)/1000000</f>
        <v>103.942155</v>
      </c>
      <c r="AA202" s="36">
        <f t="shared" si="473"/>
        <v>0.12365601522767153</v>
      </c>
      <c r="AB202" s="60">
        <f t="shared" si="474"/>
        <v>0.35326721161386632</v>
      </c>
      <c r="AC202" s="35">
        <f t="shared" si="475"/>
        <v>736.63284500000009</v>
      </c>
      <c r="AD202" s="35">
        <f>VLOOKUP($B202,REPORTE!$B$3:$AS$200,34,FALSE)/1000000</f>
        <v>100</v>
      </c>
      <c r="AE202" s="36">
        <f t="shared" si="476"/>
        <v>0.11896618386223715</v>
      </c>
      <c r="AF202" s="127">
        <f t="shared" si="477"/>
        <v>0.73429104834966297</v>
      </c>
    </row>
    <row r="203" spans="1:32" s="41" customFormat="1" ht="21.75" customHeight="1">
      <c r="A203" s="38" t="s">
        <v>44</v>
      </c>
      <c r="B203" s="34" t="s">
        <v>44</v>
      </c>
      <c r="C203" s="35">
        <f>VLOOKUP(B203,REPORTE!$B$3:$AS$200,26,FALSE)/1000000</f>
        <v>2469.5409199999999</v>
      </c>
      <c r="D203" s="35">
        <f>VLOOKUP(B203,REPORTE!$B$3:$AS$200,27,FALSE)/1000000</f>
        <v>0</v>
      </c>
      <c r="E203" s="35">
        <f>VLOOKUP(B203,REPORTE!$B$3:$AS$200,28,FALSE)/1000000</f>
        <v>0</v>
      </c>
      <c r="F203" s="35">
        <f>VLOOKUP(B203,REPORTE!$B$3:$AS$200,29,FALSE)/1000000</f>
        <v>2469.5409199999999</v>
      </c>
      <c r="G203" s="35">
        <f>(VLOOKUP(B203,REPORTE!$B$3:$AS$200,30,FALSE)/1000000)</f>
        <v>0</v>
      </c>
      <c r="H203" s="35">
        <f t="shared" si="459"/>
        <v>2469.5409199999999</v>
      </c>
      <c r="I203" s="35">
        <f t="shared" si="460"/>
        <v>864.42664240988825</v>
      </c>
      <c r="J203" s="36">
        <f t="shared" si="461"/>
        <v>0.3500353589645675</v>
      </c>
      <c r="K203" s="35">
        <f>VLOOKUP($B203,REPORTE!$B$3:$AS$200,32,FALSE)/1000000</f>
        <v>814.70693200000005</v>
      </c>
      <c r="L203" s="36">
        <f t="shared" si="462"/>
        <v>0.32990217955165535</v>
      </c>
      <c r="M203" s="60">
        <f t="shared" si="493"/>
        <v>0.94248244099548195</v>
      </c>
      <c r="N203" s="35">
        <f t="shared" si="464"/>
        <v>1654.8339879999999</v>
      </c>
      <c r="O203" s="35">
        <f t="shared" si="465"/>
        <v>400.1027382865999</v>
      </c>
      <c r="P203" s="36">
        <f t="shared" si="466"/>
        <v>0.1620150267793902</v>
      </c>
      <c r="Q203" s="35">
        <f>VLOOKUP($B203,REPORTE!$B$3:$AS$200,34,FALSE)/1000000</f>
        <v>746.44989799999996</v>
      </c>
      <c r="R203" s="36">
        <f t="shared" si="467"/>
        <v>0.3022626156767631</v>
      </c>
      <c r="S203" s="60">
        <f t="shared" si="468"/>
        <v>1.8656455619289116</v>
      </c>
      <c r="T203" s="35">
        <f t="shared" si="469"/>
        <v>382.77884259999996</v>
      </c>
      <c r="U203" s="40">
        <f t="shared" si="470"/>
        <v>0.155</v>
      </c>
      <c r="V203" s="35">
        <f>VLOOKUP($B203,REPORTE!$B$3:$AS$200,35,FALSE)/1000000</f>
        <v>697.81284700000003</v>
      </c>
      <c r="W203" s="36">
        <f t="shared" si="471"/>
        <v>0.28256784139458602</v>
      </c>
      <c r="X203" s="145">
        <f t="shared" si="472"/>
        <v>1.8230183315779742</v>
      </c>
      <c r="Z203" s="35">
        <f>VLOOKUP($B203,REPORTE!$B$3:$AS$200,32,FALSE)/1000000</f>
        <v>814.70693200000005</v>
      </c>
      <c r="AA203" s="36">
        <f t="shared" si="473"/>
        <v>0.32990217955165535</v>
      </c>
      <c r="AB203" s="60">
        <f t="shared" si="474"/>
        <v>0.94248244099548195</v>
      </c>
      <c r="AC203" s="35">
        <f t="shared" si="475"/>
        <v>1654.8339879999999</v>
      </c>
      <c r="AD203" s="35">
        <f>VLOOKUP($B203,REPORTE!$B$3:$AS$200,34,FALSE)/1000000</f>
        <v>746.44989799999996</v>
      </c>
      <c r="AE203" s="36">
        <f t="shared" si="476"/>
        <v>0.3022626156767631</v>
      </c>
      <c r="AF203" s="127">
        <f t="shared" si="477"/>
        <v>1.8656455619289116</v>
      </c>
    </row>
    <row r="204" spans="1:32" s="41" customFormat="1" ht="21.75" customHeight="1">
      <c r="A204" s="38" t="s">
        <v>45</v>
      </c>
      <c r="B204" s="34" t="s">
        <v>45</v>
      </c>
      <c r="C204" s="35">
        <f>VLOOKUP(B204,REPORTE!$B$3:$AS$200,26,FALSE)/1000000</f>
        <v>2330</v>
      </c>
      <c r="D204" s="35">
        <f>VLOOKUP(B204,REPORTE!$B$3:$AS$200,27,FALSE)/1000000</f>
        <v>0</v>
      </c>
      <c r="E204" s="35">
        <f>VLOOKUP(B204,REPORTE!$B$3:$AS$200,28,FALSE)/1000000</f>
        <v>0</v>
      </c>
      <c r="F204" s="35">
        <f>VLOOKUP(B204,REPORTE!$B$3:$AS$200,29,FALSE)/1000000</f>
        <v>2330</v>
      </c>
      <c r="G204" s="35">
        <f>(VLOOKUP(B204,REPORTE!$B$3:$AS$200,30,FALSE)/1000000)</f>
        <v>0</v>
      </c>
      <c r="H204" s="35">
        <f t="shared" si="459"/>
        <v>2330</v>
      </c>
      <c r="I204" s="35">
        <f t="shared" si="460"/>
        <v>815.58238638744228</v>
      </c>
      <c r="J204" s="36">
        <f t="shared" si="461"/>
        <v>0.3500353589645675</v>
      </c>
      <c r="K204" s="35">
        <f>VLOOKUP($B204,REPORTE!$B$3:$AS$200,32,FALSE)/1000000</f>
        <v>619.01555499999995</v>
      </c>
      <c r="L204" s="36">
        <f t="shared" si="462"/>
        <v>0.26567191201716733</v>
      </c>
      <c r="M204" s="60">
        <f t="shared" si="493"/>
        <v>0.75898592874458748</v>
      </c>
      <c r="N204" s="35">
        <f t="shared" si="464"/>
        <v>1710.9844450000001</v>
      </c>
      <c r="O204" s="35">
        <f t="shared" si="465"/>
        <v>377.49501239597919</v>
      </c>
      <c r="P204" s="36">
        <f t="shared" si="466"/>
        <v>0.1620150267793902</v>
      </c>
      <c r="Q204" s="35">
        <f>VLOOKUP($B204,REPORTE!$B$3:$AS$200,34,FALSE)/1000000</f>
        <v>619.01555499999995</v>
      </c>
      <c r="R204" s="36">
        <f t="shared" si="467"/>
        <v>0.26567191201716733</v>
      </c>
      <c r="S204" s="60">
        <f t="shared" si="468"/>
        <v>1.6397979699680749</v>
      </c>
      <c r="T204" s="35">
        <f t="shared" si="469"/>
        <v>361.15</v>
      </c>
      <c r="U204" s="40">
        <f t="shared" si="470"/>
        <v>0.155</v>
      </c>
      <c r="V204" s="35">
        <f>VLOOKUP($B204,REPORTE!$B$3:$AS$200,35,FALSE)/1000000</f>
        <v>619.01555499999995</v>
      </c>
      <c r="W204" s="36">
        <f t="shared" si="471"/>
        <v>0.26567191201716733</v>
      </c>
      <c r="X204" s="145">
        <f t="shared" si="472"/>
        <v>1.714012335594628</v>
      </c>
      <c r="Z204" s="35">
        <f>VLOOKUP($B204,REPORTE!$B$3:$AS$200,32,FALSE)/1000000</f>
        <v>619.01555499999995</v>
      </c>
      <c r="AA204" s="36">
        <f t="shared" si="473"/>
        <v>0.26567191201716733</v>
      </c>
      <c r="AB204" s="60">
        <f t="shared" si="474"/>
        <v>0.75898592874458748</v>
      </c>
      <c r="AC204" s="35">
        <f t="shared" si="475"/>
        <v>1710.9844450000001</v>
      </c>
      <c r="AD204" s="35">
        <f>VLOOKUP($B204,REPORTE!$B$3:$AS$200,34,FALSE)/1000000</f>
        <v>619.01555499999995</v>
      </c>
      <c r="AE204" s="36">
        <f t="shared" si="476"/>
        <v>0.26567191201716733</v>
      </c>
      <c r="AF204" s="127">
        <f t="shared" si="477"/>
        <v>1.6397979699680749</v>
      </c>
    </row>
    <row r="205" spans="1:32" s="41" customFormat="1" ht="21.75" customHeight="1">
      <c r="A205" s="38" t="s">
        <v>46</v>
      </c>
      <c r="B205" s="34" t="s">
        <v>46</v>
      </c>
      <c r="C205" s="35">
        <f>VLOOKUP(B205,REPORTE!$B$3:$AS$200,26,FALSE)/1000000</f>
        <v>3985.1</v>
      </c>
      <c r="D205" s="35">
        <f>VLOOKUP(B205,REPORTE!$B$3:$AS$200,27,FALSE)/1000000</f>
        <v>0</v>
      </c>
      <c r="E205" s="35">
        <f>VLOOKUP(B205,REPORTE!$B$3:$AS$200,28,FALSE)/1000000</f>
        <v>0</v>
      </c>
      <c r="F205" s="35">
        <f>VLOOKUP(B205,REPORTE!$B$3:$AS$200,29,FALSE)/1000000</f>
        <v>3985.1</v>
      </c>
      <c r="G205" s="35">
        <f>(VLOOKUP(B205,REPORTE!$B$3:$AS$200,30,FALSE)/1000000)</f>
        <v>0</v>
      </c>
      <c r="H205" s="35">
        <f t="shared" si="459"/>
        <v>3985.1</v>
      </c>
      <c r="I205" s="35">
        <f t="shared" si="460"/>
        <v>1394.925909009698</v>
      </c>
      <c r="J205" s="36">
        <f t="shared" si="461"/>
        <v>0.3500353589645675</v>
      </c>
      <c r="K205" s="35">
        <f>VLOOKUP($B205,REPORTE!$B$3:$AS$200,32,FALSE)/1000000</f>
        <v>1163.017073</v>
      </c>
      <c r="L205" s="36">
        <f t="shared" si="462"/>
        <v>0.29184137738074328</v>
      </c>
      <c r="M205" s="60">
        <f t="shared" si="493"/>
        <v>0.83374827687132336</v>
      </c>
      <c r="N205" s="35">
        <f t="shared" si="464"/>
        <v>2822.0829269999999</v>
      </c>
      <c r="O205" s="35">
        <f t="shared" si="465"/>
        <v>645.64608321854791</v>
      </c>
      <c r="P205" s="36">
        <f t="shared" si="466"/>
        <v>0.1620150267793902</v>
      </c>
      <c r="Q205" s="35">
        <f>VLOOKUP($B205,REPORTE!$B$3:$AS$200,34,FALSE)/1000000</f>
        <v>1163.017073</v>
      </c>
      <c r="R205" s="36">
        <f t="shared" si="467"/>
        <v>0.29184137738074328</v>
      </c>
      <c r="S205" s="60">
        <f t="shared" si="468"/>
        <v>1.8013228969071664</v>
      </c>
      <c r="T205" s="35">
        <f t="shared" si="469"/>
        <v>617.69049999999993</v>
      </c>
      <c r="U205" s="40">
        <f t="shared" si="470"/>
        <v>0.155</v>
      </c>
      <c r="V205" s="35">
        <f>VLOOKUP($B205,REPORTE!$B$3:$AS$200,35,FALSE)/1000000</f>
        <v>1163.017073</v>
      </c>
      <c r="W205" s="36">
        <f t="shared" si="471"/>
        <v>0.29184137738074328</v>
      </c>
      <c r="X205" s="145">
        <f t="shared" si="472"/>
        <v>1.8828475960047955</v>
      </c>
      <c r="Z205" s="35">
        <f>VLOOKUP($B205,REPORTE!$B$3:$AS$200,32,FALSE)/1000000</f>
        <v>1163.017073</v>
      </c>
      <c r="AA205" s="36">
        <f t="shared" si="473"/>
        <v>0.29184137738074328</v>
      </c>
      <c r="AB205" s="60">
        <f t="shared" si="474"/>
        <v>0.83374827687132336</v>
      </c>
      <c r="AC205" s="35">
        <f t="shared" si="475"/>
        <v>2822.0829269999999</v>
      </c>
      <c r="AD205" s="35">
        <f>VLOOKUP($B205,REPORTE!$B$3:$AS$200,34,FALSE)/1000000</f>
        <v>1163.017073</v>
      </c>
      <c r="AE205" s="36">
        <f t="shared" si="476"/>
        <v>0.29184137738074328</v>
      </c>
      <c r="AF205" s="127">
        <f t="shared" si="477"/>
        <v>1.8013228969071664</v>
      </c>
    </row>
    <row r="206" spans="1:32" s="41" customFormat="1" ht="21.75" customHeight="1">
      <c r="A206" s="38" t="s">
        <v>47</v>
      </c>
      <c r="B206" s="34" t="s">
        <v>47</v>
      </c>
      <c r="C206" s="35">
        <f>VLOOKUP(B206,REPORTE!$B$3:$AS$200,26,FALSE)/1000000</f>
        <v>2210.5711999999999</v>
      </c>
      <c r="D206" s="35">
        <f>VLOOKUP(B206,REPORTE!$B$3:$AS$200,27,FALSE)/1000000</f>
        <v>0</v>
      </c>
      <c r="E206" s="35">
        <f>VLOOKUP(B206,REPORTE!$B$3:$AS$200,28,FALSE)/1000000</f>
        <v>0</v>
      </c>
      <c r="F206" s="35">
        <f>VLOOKUP(B206,REPORTE!$B$3:$AS$200,29,FALSE)/1000000</f>
        <v>2210.5711999999999</v>
      </c>
      <c r="G206" s="35">
        <f>(VLOOKUP(B206,REPORTE!$B$3:$AS$200,30,FALSE)/1000000)</f>
        <v>0</v>
      </c>
      <c r="H206" s="35">
        <f t="shared" si="459"/>
        <v>2210.5711999999999</v>
      </c>
      <c r="I206" s="35">
        <f t="shared" si="460"/>
        <v>773.77808350873465</v>
      </c>
      <c r="J206" s="36">
        <f t="shared" si="461"/>
        <v>0.3500353589645675</v>
      </c>
      <c r="K206" s="35">
        <f>VLOOKUP($B206,REPORTE!$B$3:$AS$200,32,FALSE)/1000000</f>
        <v>750</v>
      </c>
      <c r="L206" s="36">
        <f t="shared" si="462"/>
        <v>0.33927882530994707</v>
      </c>
      <c r="M206" s="60">
        <f t="shared" si="493"/>
        <v>0.96927015120289817</v>
      </c>
      <c r="N206" s="35">
        <f t="shared" si="464"/>
        <v>1460.5711999999999</v>
      </c>
      <c r="O206" s="35">
        <f t="shared" si="465"/>
        <v>358.14575216574872</v>
      </c>
      <c r="P206" s="36">
        <f t="shared" si="466"/>
        <v>0.1620150267793902</v>
      </c>
      <c r="Q206" s="35">
        <f>VLOOKUP($B206,REPORTE!$B$3:$AS$200,34,FALSE)/1000000</f>
        <v>750</v>
      </c>
      <c r="R206" s="36">
        <f t="shared" si="467"/>
        <v>0.33927882530994707</v>
      </c>
      <c r="S206" s="60">
        <f t="shared" si="468"/>
        <v>2.0941194903601774</v>
      </c>
      <c r="T206" s="35">
        <f t="shared" si="469"/>
        <v>342.63853599999999</v>
      </c>
      <c r="U206" s="40">
        <f t="shared" si="470"/>
        <v>0.155</v>
      </c>
      <c r="V206" s="35">
        <f>VLOOKUP($B206,REPORTE!$B$3:$AS$200,35,FALSE)/1000000</f>
        <v>750</v>
      </c>
      <c r="W206" s="36">
        <f t="shared" si="471"/>
        <v>0.33927882530994707</v>
      </c>
      <c r="X206" s="145">
        <f t="shared" si="472"/>
        <v>2.1888956471609489</v>
      </c>
      <c r="Z206" s="35">
        <f>VLOOKUP($B206,REPORTE!$B$3:$AS$200,32,FALSE)/1000000</f>
        <v>750</v>
      </c>
      <c r="AA206" s="36">
        <f t="shared" si="473"/>
        <v>0.33927882530994707</v>
      </c>
      <c r="AB206" s="60">
        <f t="shared" si="474"/>
        <v>0.96927015120289817</v>
      </c>
      <c r="AC206" s="35">
        <f t="shared" si="475"/>
        <v>1460.5711999999999</v>
      </c>
      <c r="AD206" s="35">
        <f>VLOOKUP($B206,REPORTE!$B$3:$AS$200,34,FALSE)/1000000</f>
        <v>750</v>
      </c>
      <c r="AE206" s="36">
        <f t="shared" si="476"/>
        <v>0.33927882530994707</v>
      </c>
      <c r="AF206" s="127">
        <f t="shared" si="477"/>
        <v>2.0941194903601774</v>
      </c>
    </row>
    <row r="207" spans="1:32" s="41" customFormat="1" ht="21.75" customHeight="1">
      <c r="A207" s="38" t="s">
        <v>48</v>
      </c>
      <c r="B207" s="34" t="s">
        <v>48</v>
      </c>
      <c r="C207" s="35">
        <f>VLOOKUP(B207,REPORTE!$B$3:$AS$200,26,FALSE)/1000000</f>
        <v>2318.9639999999999</v>
      </c>
      <c r="D207" s="35">
        <f>VLOOKUP(B207,REPORTE!$B$3:$AS$200,27,FALSE)/1000000</f>
        <v>0</v>
      </c>
      <c r="E207" s="35">
        <f>VLOOKUP(B207,REPORTE!$B$3:$AS$200,28,FALSE)/1000000</f>
        <v>0</v>
      </c>
      <c r="F207" s="35">
        <f>VLOOKUP(B207,REPORTE!$B$3:$AS$200,29,FALSE)/1000000</f>
        <v>2318.9639999999999</v>
      </c>
      <c r="G207" s="35">
        <f>(VLOOKUP(B207,REPORTE!$B$3:$AS$200,30,FALSE)/1000000)</f>
        <v>0</v>
      </c>
      <c r="H207" s="35">
        <f t="shared" si="459"/>
        <v>2318.9639999999999</v>
      </c>
      <c r="I207" s="35">
        <f t="shared" si="460"/>
        <v>811.7193961659093</v>
      </c>
      <c r="J207" s="36">
        <f t="shared" si="461"/>
        <v>0.3500353589645675</v>
      </c>
      <c r="K207" s="35">
        <f>VLOOKUP($B207,REPORTE!$B$3:$AS$200,32,FALSE)/1000000</f>
        <v>487.79048299999999</v>
      </c>
      <c r="L207" s="36">
        <f t="shared" si="462"/>
        <v>0.21034844999749888</v>
      </c>
      <c r="M207" s="60">
        <f t="shared" si="493"/>
        <v>0.6009348616086283</v>
      </c>
      <c r="N207" s="35">
        <f t="shared" si="464"/>
        <v>1831.1735169999999</v>
      </c>
      <c r="O207" s="35">
        <f t="shared" si="465"/>
        <v>375.70701456044179</v>
      </c>
      <c r="P207" s="36">
        <f t="shared" si="466"/>
        <v>0.1620150267793902</v>
      </c>
      <c r="Q207" s="35">
        <f>VLOOKUP($B207,REPORTE!$B$3:$AS$200,34,FALSE)/1000000</f>
        <v>487.79048299999999</v>
      </c>
      <c r="R207" s="36">
        <f t="shared" si="467"/>
        <v>0.21034844999749888</v>
      </c>
      <c r="S207" s="60">
        <f t="shared" si="468"/>
        <v>1.2983267921433146</v>
      </c>
      <c r="T207" s="35">
        <f t="shared" si="469"/>
        <v>359.43941999999998</v>
      </c>
      <c r="U207" s="40">
        <f t="shared" si="470"/>
        <v>0.155</v>
      </c>
      <c r="V207" s="35">
        <f>VLOOKUP($B207,REPORTE!$B$3:$AS$200,35,FALSE)/1000000</f>
        <v>487.79048299999999</v>
      </c>
      <c r="W207" s="36">
        <f t="shared" si="471"/>
        <v>0.21034844999749888</v>
      </c>
      <c r="X207" s="145">
        <f t="shared" si="472"/>
        <v>1.3570867741774122</v>
      </c>
      <c r="Z207" s="35">
        <f>VLOOKUP($B207,REPORTE!$B$3:$AS$200,32,FALSE)/1000000</f>
        <v>487.79048299999999</v>
      </c>
      <c r="AA207" s="36">
        <f t="shared" si="473"/>
        <v>0.21034844999749888</v>
      </c>
      <c r="AB207" s="60">
        <f t="shared" si="474"/>
        <v>0.6009348616086283</v>
      </c>
      <c r="AC207" s="35">
        <f t="shared" si="475"/>
        <v>1831.1735169999999</v>
      </c>
      <c r="AD207" s="35">
        <f>VLOOKUP($B207,REPORTE!$B$3:$AS$200,34,FALSE)/1000000</f>
        <v>487.79048299999999</v>
      </c>
      <c r="AE207" s="36">
        <f t="shared" si="476"/>
        <v>0.21034844999749888</v>
      </c>
      <c r="AF207" s="127">
        <f t="shared" si="477"/>
        <v>1.2983267921433146</v>
      </c>
    </row>
    <row r="208" spans="1:32" s="41" customFormat="1" ht="21.75" customHeight="1">
      <c r="A208" s="38" t="s">
        <v>49</v>
      </c>
      <c r="B208" s="34" t="s">
        <v>49</v>
      </c>
      <c r="C208" s="35">
        <f>VLOOKUP(B208,REPORTE!$B$3:$AS$200,26,FALSE)/1000000</f>
        <v>6289</v>
      </c>
      <c r="D208" s="35">
        <f>VLOOKUP(B208,REPORTE!$B$3:$AS$200,27,FALSE)/1000000</f>
        <v>0</v>
      </c>
      <c r="E208" s="35">
        <f>VLOOKUP(B208,REPORTE!$B$3:$AS$200,28,FALSE)/1000000</f>
        <v>0</v>
      </c>
      <c r="F208" s="35">
        <f>VLOOKUP(B208,REPORTE!$B$3:$AS$200,29,FALSE)/1000000</f>
        <v>6289</v>
      </c>
      <c r="G208" s="35">
        <f>(VLOOKUP(B208,REPORTE!$B$3:$AS$200,30,FALSE)/1000000)</f>
        <v>0</v>
      </c>
      <c r="H208" s="35">
        <f t="shared" si="459"/>
        <v>6289</v>
      </c>
      <c r="I208" s="35">
        <f t="shared" si="460"/>
        <v>2201.3723725281652</v>
      </c>
      <c r="J208" s="36">
        <f t="shared" si="461"/>
        <v>0.3500353589645675</v>
      </c>
      <c r="K208" s="35">
        <f>VLOOKUP($B208,REPORTE!$B$3:$AS$200,32,FALSE)/1000000</f>
        <v>1386.037638</v>
      </c>
      <c r="L208" s="36">
        <f t="shared" si="462"/>
        <v>0.22039078359039593</v>
      </c>
      <c r="M208" s="60">
        <f t="shared" si="493"/>
        <v>0.62962434492997921</v>
      </c>
      <c r="N208" s="35">
        <f t="shared" si="464"/>
        <v>4902.9623620000002</v>
      </c>
      <c r="O208" s="35">
        <f t="shared" si="465"/>
        <v>1018.912503415585</v>
      </c>
      <c r="P208" s="36">
        <f t="shared" si="466"/>
        <v>0.1620150267793902</v>
      </c>
      <c r="Q208" s="35">
        <f>VLOOKUP($B208,REPORTE!$B$3:$AS$200,34,FALSE)/1000000</f>
        <v>1373.037638</v>
      </c>
      <c r="R208" s="36">
        <f t="shared" si="467"/>
        <v>0.21832368230243282</v>
      </c>
      <c r="S208" s="60">
        <f t="shared" si="468"/>
        <v>1.3475520551542173</v>
      </c>
      <c r="T208" s="35">
        <f t="shared" si="469"/>
        <v>974.79499999999996</v>
      </c>
      <c r="U208" s="40">
        <f t="shared" si="470"/>
        <v>0.155</v>
      </c>
      <c r="V208" s="35">
        <f>VLOOKUP($B208,REPORTE!$B$3:$AS$200,35,FALSE)/1000000</f>
        <v>1373.037638</v>
      </c>
      <c r="W208" s="36">
        <f t="shared" si="471"/>
        <v>0.21832368230243282</v>
      </c>
      <c r="X208" s="145">
        <f t="shared" si="472"/>
        <v>1.4085398858221472</v>
      </c>
      <c r="Z208" s="35">
        <f>VLOOKUP($B208,REPORTE!$B$3:$AS$200,32,FALSE)/1000000</f>
        <v>1386.037638</v>
      </c>
      <c r="AA208" s="36">
        <f t="shared" si="473"/>
        <v>0.22039078359039593</v>
      </c>
      <c r="AB208" s="60">
        <f t="shared" si="474"/>
        <v>0.62962434492997921</v>
      </c>
      <c r="AC208" s="35">
        <f t="shared" si="475"/>
        <v>4902.9623620000002</v>
      </c>
      <c r="AD208" s="35">
        <f>VLOOKUP($B208,REPORTE!$B$3:$AS$200,34,FALSE)/1000000</f>
        <v>1373.037638</v>
      </c>
      <c r="AE208" s="36">
        <f t="shared" si="476"/>
        <v>0.21832368230243282</v>
      </c>
      <c r="AF208" s="127">
        <f t="shared" si="477"/>
        <v>1.3475520551542173</v>
      </c>
    </row>
    <row r="209" spans="1:32" s="41" customFormat="1" ht="21.75" customHeight="1">
      <c r="A209" s="38" t="s">
        <v>50</v>
      </c>
      <c r="B209" s="34" t="s">
        <v>50</v>
      </c>
      <c r="C209" s="35">
        <f>VLOOKUP(B209,REPORTE!$B$3:$AS$200,26,FALSE)/1000000</f>
        <v>5534</v>
      </c>
      <c r="D209" s="35">
        <f>VLOOKUP(B209,REPORTE!$B$3:$AS$200,27,FALSE)/1000000</f>
        <v>0</v>
      </c>
      <c r="E209" s="35">
        <f>VLOOKUP(B209,REPORTE!$B$3:$AS$200,28,FALSE)/1000000</f>
        <v>0</v>
      </c>
      <c r="F209" s="35">
        <f>VLOOKUP(B209,REPORTE!$B$3:$AS$200,29,FALSE)/1000000</f>
        <v>5534</v>
      </c>
      <c r="G209" s="35">
        <f>(VLOOKUP(B209,REPORTE!$B$3:$AS$200,30,FALSE)/1000000)</f>
        <v>0</v>
      </c>
      <c r="H209" s="35">
        <f t="shared" si="459"/>
        <v>5534</v>
      </c>
      <c r="I209" s="35">
        <f t="shared" si="460"/>
        <v>1937.0956765099165</v>
      </c>
      <c r="J209" s="36">
        <f t="shared" si="461"/>
        <v>0.3500353589645675</v>
      </c>
      <c r="K209" s="35">
        <f>VLOOKUP($B209,REPORTE!$B$3:$AS$200,32,FALSE)/1000000</f>
        <v>1125.10072371</v>
      </c>
      <c r="L209" s="36">
        <f t="shared" si="462"/>
        <v>0.20330696127755693</v>
      </c>
      <c r="M209" s="60">
        <f t="shared" si="493"/>
        <v>0.58081835469123788</v>
      </c>
      <c r="N209" s="35">
        <f t="shared" si="464"/>
        <v>4408.8992762899998</v>
      </c>
      <c r="O209" s="35">
        <f t="shared" si="465"/>
        <v>896.59115819714532</v>
      </c>
      <c r="P209" s="36">
        <f t="shared" si="466"/>
        <v>0.1620150267793902</v>
      </c>
      <c r="Q209" s="35">
        <f>VLOOKUP($B209,REPORTE!$B$3:$AS$200,34,FALSE)/1000000</f>
        <v>1125.10072371</v>
      </c>
      <c r="R209" s="36">
        <f t="shared" si="467"/>
        <v>0.20330696127755693</v>
      </c>
      <c r="S209" s="60">
        <f t="shared" si="468"/>
        <v>1.254864843829532</v>
      </c>
      <c r="T209" s="35">
        <f t="shared" si="469"/>
        <v>857.77</v>
      </c>
      <c r="U209" s="40">
        <f t="shared" si="470"/>
        <v>0.155</v>
      </c>
      <c r="V209" s="35">
        <f>VLOOKUP($B209,REPORTE!$B$3:$AS$200,35,FALSE)/1000000</f>
        <v>1125.10072371</v>
      </c>
      <c r="W209" s="36">
        <f t="shared" si="471"/>
        <v>0.20330696127755693</v>
      </c>
      <c r="X209" s="145">
        <f t="shared" si="472"/>
        <v>1.3116578146939157</v>
      </c>
      <c r="Z209" s="35">
        <f>VLOOKUP($B209,REPORTE!$B$3:$AS$200,32,FALSE)/1000000</f>
        <v>1125.10072371</v>
      </c>
      <c r="AA209" s="36">
        <f t="shared" si="473"/>
        <v>0.20330696127755693</v>
      </c>
      <c r="AB209" s="60">
        <f t="shared" si="474"/>
        <v>0.58081835469123788</v>
      </c>
      <c r="AC209" s="35">
        <f t="shared" si="475"/>
        <v>4408.8992762899998</v>
      </c>
      <c r="AD209" s="35">
        <f>VLOOKUP($B209,REPORTE!$B$3:$AS$200,34,FALSE)/1000000</f>
        <v>1125.10072371</v>
      </c>
      <c r="AE209" s="36">
        <f t="shared" si="476"/>
        <v>0.20330696127755693</v>
      </c>
      <c r="AF209" s="127">
        <f t="shared" si="477"/>
        <v>1.254864843829532</v>
      </c>
    </row>
    <row r="210" spans="1:32" s="41" customFormat="1" ht="21.75" customHeight="1">
      <c r="A210" s="38" t="s">
        <v>51</v>
      </c>
      <c r="B210" s="34" t="s">
        <v>51</v>
      </c>
      <c r="C210" s="35">
        <f>VLOOKUP(B210,REPORTE!$B$3:$AS$200,26,FALSE)/1000000</f>
        <v>2921</v>
      </c>
      <c r="D210" s="35">
        <f>VLOOKUP(B210,REPORTE!$B$3:$AS$200,27,FALSE)/1000000</f>
        <v>0</v>
      </c>
      <c r="E210" s="35">
        <f>VLOOKUP(B210,REPORTE!$B$3:$AS$200,28,FALSE)/1000000</f>
        <v>0</v>
      </c>
      <c r="F210" s="35">
        <f>VLOOKUP(B210,REPORTE!$B$3:$AS$200,29,FALSE)/1000000</f>
        <v>2921</v>
      </c>
      <c r="G210" s="35">
        <f>(VLOOKUP(B210,REPORTE!$B$3:$AS$200,30,FALSE)/1000000)</f>
        <v>0</v>
      </c>
      <c r="H210" s="35">
        <f t="shared" si="459"/>
        <v>2921</v>
      </c>
      <c r="I210" s="35">
        <f t="shared" si="460"/>
        <v>1022.4532835355017</v>
      </c>
      <c r="J210" s="36">
        <f t="shared" si="461"/>
        <v>0.3500353589645675</v>
      </c>
      <c r="K210" s="35">
        <f>VLOOKUP($B210,REPORTE!$B$3:$AS$200,32,FALSE)/1000000</f>
        <v>615.514771</v>
      </c>
      <c r="L210" s="36">
        <f t="shared" si="462"/>
        <v>0.2107205652173913</v>
      </c>
      <c r="M210" s="60">
        <f t="shared" si="493"/>
        <v>0.60199794055297595</v>
      </c>
      <c r="N210" s="35">
        <f t="shared" si="464"/>
        <v>2305.4852289999999</v>
      </c>
      <c r="O210" s="35">
        <f t="shared" si="465"/>
        <v>473.2458932225988</v>
      </c>
      <c r="P210" s="36">
        <f t="shared" si="466"/>
        <v>0.1620150267793902</v>
      </c>
      <c r="Q210" s="35">
        <f>VLOOKUP($B210,REPORTE!$B$3:$AS$200,34,FALSE)/1000000</f>
        <v>595.51263900000004</v>
      </c>
      <c r="R210" s="36">
        <f t="shared" si="467"/>
        <v>0.20387286511468677</v>
      </c>
      <c r="S210" s="60">
        <f t="shared" si="468"/>
        <v>1.2583577533971144</v>
      </c>
      <c r="T210" s="35">
        <f t="shared" si="469"/>
        <v>452.755</v>
      </c>
      <c r="U210" s="40">
        <f t="shared" si="470"/>
        <v>0.155</v>
      </c>
      <c r="V210" s="35">
        <f>VLOOKUP($B210,REPORTE!$B$3:$AS$200,35,FALSE)/1000000</f>
        <v>595.51263900000004</v>
      </c>
      <c r="W210" s="36">
        <f t="shared" si="471"/>
        <v>0.20387286511468677</v>
      </c>
      <c r="X210" s="145">
        <f t="shared" si="472"/>
        <v>1.3153088071915275</v>
      </c>
      <c r="Z210" s="35">
        <f>VLOOKUP($B210,REPORTE!$B$3:$AS$200,32,FALSE)/1000000</f>
        <v>615.514771</v>
      </c>
      <c r="AA210" s="36">
        <f t="shared" si="473"/>
        <v>0.2107205652173913</v>
      </c>
      <c r="AB210" s="60">
        <f t="shared" si="474"/>
        <v>0.60199794055297595</v>
      </c>
      <c r="AC210" s="35">
        <f t="shared" si="475"/>
        <v>2305.4852289999999</v>
      </c>
      <c r="AD210" s="35">
        <f>VLOOKUP($B210,REPORTE!$B$3:$AS$200,34,FALSE)/1000000</f>
        <v>595.51263900000004</v>
      </c>
      <c r="AE210" s="36">
        <f t="shared" si="476"/>
        <v>0.20387286511468677</v>
      </c>
      <c r="AF210" s="127">
        <f t="shared" si="477"/>
        <v>1.2583577533971144</v>
      </c>
    </row>
    <row r="211" spans="1:32" s="41" customFormat="1" ht="21.75" customHeight="1">
      <c r="A211" s="38" t="s">
        <v>52</v>
      </c>
      <c r="B211" s="34" t="s">
        <v>52</v>
      </c>
      <c r="C211" s="35">
        <f>VLOOKUP(B211,REPORTE!$B$3:$AS$200,26,FALSE)/1000000</f>
        <v>3300.4</v>
      </c>
      <c r="D211" s="35">
        <f>VLOOKUP(B211,REPORTE!$B$3:$AS$200,27,FALSE)/1000000</f>
        <v>0</v>
      </c>
      <c r="E211" s="35">
        <f>VLOOKUP(B211,REPORTE!$B$3:$AS$200,28,FALSE)/1000000</f>
        <v>0</v>
      </c>
      <c r="F211" s="35">
        <f>VLOOKUP(B211,REPORTE!$B$3:$AS$200,29,FALSE)/1000000</f>
        <v>3300.4</v>
      </c>
      <c r="G211" s="35">
        <f>(VLOOKUP(B211,REPORTE!$B$3:$AS$200,30,FALSE)/1000000)</f>
        <v>0</v>
      </c>
      <c r="H211" s="35">
        <f t="shared" si="459"/>
        <v>3300.4</v>
      </c>
      <c r="I211" s="35">
        <f t="shared" si="460"/>
        <v>1155.2566987266587</v>
      </c>
      <c r="J211" s="36">
        <f t="shared" si="461"/>
        <v>0.3500353589645675</v>
      </c>
      <c r="K211" s="35">
        <f>VLOOKUP($B211,REPORTE!$B$3:$AS$200,32,FALSE)/1000000</f>
        <v>1156.6283719999999</v>
      </c>
      <c r="L211" s="36">
        <f t="shared" si="462"/>
        <v>0.35045096715549628</v>
      </c>
      <c r="M211" s="60">
        <f t="shared" si="493"/>
        <v>1.0011873320231368</v>
      </c>
      <c r="N211" s="35">
        <f t="shared" si="464"/>
        <v>2143.7716280000004</v>
      </c>
      <c r="O211" s="35">
        <f t="shared" si="465"/>
        <v>534.71439438269942</v>
      </c>
      <c r="P211" s="36">
        <f t="shared" si="466"/>
        <v>0.1620150267793902</v>
      </c>
      <c r="Q211" s="35">
        <f>VLOOKUP($B211,REPORTE!$B$3:$AS$200,34,FALSE)/1000000</f>
        <v>1054.7262639999999</v>
      </c>
      <c r="R211" s="36">
        <f t="shared" si="467"/>
        <v>0.31957528299600046</v>
      </c>
      <c r="S211" s="60">
        <f t="shared" si="468"/>
        <v>1.972503966753369</v>
      </c>
      <c r="T211" s="35">
        <f t="shared" si="469"/>
        <v>511.56200000000001</v>
      </c>
      <c r="U211" s="40">
        <f t="shared" si="470"/>
        <v>0.155</v>
      </c>
      <c r="V211" s="35">
        <f>VLOOKUP($B211,REPORTE!$B$3:$AS$200,35,FALSE)/1000000</f>
        <v>1054.7262639999999</v>
      </c>
      <c r="W211" s="36">
        <f t="shared" si="471"/>
        <v>0.31957528299600046</v>
      </c>
      <c r="X211" s="145">
        <f t="shared" si="472"/>
        <v>2.0617760193290353</v>
      </c>
      <c r="Z211" s="35">
        <f>VLOOKUP($B211,REPORTE!$B$3:$AS$200,32,FALSE)/1000000</f>
        <v>1156.6283719999999</v>
      </c>
      <c r="AA211" s="36">
        <f t="shared" si="473"/>
        <v>0.35045096715549628</v>
      </c>
      <c r="AB211" s="60">
        <f t="shared" si="474"/>
        <v>1.0011873320231368</v>
      </c>
      <c r="AC211" s="35">
        <f t="shared" si="475"/>
        <v>2143.7716280000004</v>
      </c>
      <c r="AD211" s="35">
        <f>VLOOKUP($B211,REPORTE!$B$3:$AS$200,34,FALSE)/1000000</f>
        <v>1054.7262639999999</v>
      </c>
      <c r="AE211" s="36">
        <f t="shared" si="476"/>
        <v>0.31957528299600046</v>
      </c>
      <c r="AF211" s="127">
        <f t="shared" si="477"/>
        <v>1.972503966753369</v>
      </c>
    </row>
    <row r="212" spans="1:32" s="41" customFormat="1" ht="21.75" customHeight="1">
      <c r="A212" s="38" t="s">
        <v>25</v>
      </c>
      <c r="B212" s="34" t="s">
        <v>25</v>
      </c>
      <c r="C212" s="35">
        <f>VLOOKUP(B212,REPORTE!$B$3:$AS$200,26,FALSE)/1000000</f>
        <v>2785.6</v>
      </c>
      <c r="D212" s="35">
        <f>VLOOKUP(B212,REPORTE!$B$3:$AS$200,27,FALSE)/1000000</f>
        <v>0</v>
      </c>
      <c r="E212" s="35">
        <f>VLOOKUP(B212,REPORTE!$B$3:$AS$200,28,FALSE)/1000000</f>
        <v>0</v>
      </c>
      <c r="F212" s="35">
        <f>VLOOKUP(B212,REPORTE!$B$3:$AS$200,29,FALSE)/1000000</f>
        <v>2785.6</v>
      </c>
      <c r="G212" s="35">
        <f>(VLOOKUP(B212,REPORTE!$B$3:$AS$200,30,FALSE)/1000000)</f>
        <v>0</v>
      </c>
      <c r="H212" s="35">
        <f t="shared" si="459"/>
        <v>2785.6</v>
      </c>
      <c r="I212" s="35">
        <f t="shared" si="460"/>
        <v>975.05849593169921</v>
      </c>
      <c r="J212" s="36">
        <f t="shared" si="461"/>
        <v>0.3500353589645675</v>
      </c>
      <c r="K212" s="35">
        <f>VLOOKUP($B212,REPORTE!$B$3:$AS$200,32,FALSE)/1000000</f>
        <v>668.09999200000004</v>
      </c>
      <c r="L212" s="36">
        <f t="shared" si="462"/>
        <v>0.23984060597357842</v>
      </c>
      <c r="M212" s="60">
        <f t="shared" si="493"/>
        <v>0.68518965250552422</v>
      </c>
      <c r="N212" s="35">
        <f t="shared" si="464"/>
        <v>2117.500008</v>
      </c>
      <c r="O212" s="35">
        <f t="shared" si="465"/>
        <v>451.30905859666933</v>
      </c>
      <c r="P212" s="36">
        <f t="shared" si="466"/>
        <v>0.1620150267793902</v>
      </c>
      <c r="Q212" s="35">
        <f>VLOOKUP($B212,REPORTE!$B$3:$AS$200,34,FALSE)/1000000</f>
        <v>668.09999200000004</v>
      </c>
      <c r="R212" s="36">
        <f t="shared" si="467"/>
        <v>0.23984060597357842</v>
      </c>
      <c r="S212" s="60">
        <f t="shared" si="468"/>
        <v>1.4803602526336055</v>
      </c>
      <c r="T212" s="35">
        <f t="shared" si="469"/>
        <v>431.76799999999997</v>
      </c>
      <c r="U212" s="40">
        <f t="shared" si="470"/>
        <v>0.155</v>
      </c>
      <c r="V212" s="35">
        <f>VLOOKUP($B212,REPORTE!$B$3:$AS$200,35,FALSE)/1000000</f>
        <v>668.09999200000004</v>
      </c>
      <c r="W212" s="36">
        <f t="shared" si="471"/>
        <v>0.23984060597357842</v>
      </c>
      <c r="X212" s="145">
        <f t="shared" si="472"/>
        <v>1.5473587482166351</v>
      </c>
      <c r="Z212" s="35">
        <f>VLOOKUP($B212,REPORTE!$B$3:$AS$200,32,FALSE)/1000000</f>
        <v>668.09999200000004</v>
      </c>
      <c r="AA212" s="36">
        <f t="shared" si="473"/>
        <v>0.23984060597357842</v>
      </c>
      <c r="AB212" s="60">
        <f t="shared" si="474"/>
        <v>0.68518965250552422</v>
      </c>
      <c r="AC212" s="35">
        <f t="shared" si="475"/>
        <v>2117.500008</v>
      </c>
      <c r="AD212" s="35">
        <f>VLOOKUP($B212,REPORTE!$B$3:$AS$200,34,FALSE)/1000000</f>
        <v>668.09999200000004</v>
      </c>
      <c r="AE212" s="36">
        <f t="shared" si="476"/>
        <v>0.23984060597357842</v>
      </c>
      <c r="AF212" s="127">
        <f t="shared" si="477"/>
        <v>1.4803602526336055</v>
      </c>
    </row>
    <row r="213" spans="1:32" s="41" customFormat="1" ht="21.75" customHeight="1">
      <c r="A213" s="38" t="s">
        <v>26</v>
      </c>
      <c r="B213" s="34" t="s">
        <v>26</v>
      </c>
      <c r="C213" s="35">
        <f>VLOOKUP(B213,REPORTE!$B$3:$AS$200,26,FALSE)/1000000</f>
        <v>2684.4295000000002</v>
      </c>
      <c r="D213" s="35">
        <f>VLOOKUP(B213,REPORTE!$B$3:$AS$200,27,FALSE)/1000000</f>
        <v>0</v>
      </c>
      <c r="E213" s="35">
        <f>VLOOKUP(B213,REPORTE!$B$3:$AS$200,28,FALSE)/1000000</f>
        <v>0</v>
      </c>
      <c r="F213" s="35">
        <f>VLOOKUP(B213,REPORTE!$B$3:$AS$200,29,FALSE)/1000000</f>
        <v>2684.4295000000002</v>
      </c>
      <c r="G213" s="35">
        <f>(VLOOKUP(B213,REPORTE!$B$3:$AS$200,30,FALSE)/1000000)</f>
        <v>0</v>
      </c>
      <c r="H213" s="35">
        <f t="shared" si="459"/>
        <v>2684.4295000000002</v>
      </c>
      <c r="I213" s="35">
        <f t="shared" si="460"/>
        <v>939.64524364757449</v>
      </c>
      <c r="J213" s="36">
        <f t="shared" si="461"/>
        <v>0.3500353589645675</v>
      </c>
      <c r="K213" s="35">
        <f>VLOOKUP($B213,REPORTE!$B$3:$AS$200,32,FALSE)/1000000</f>
        <v>53.539200000000001</v>
      </c>
      <c r="L213" s="36">
        <f t="shared" si="462"/>
        <v>1.9944349441846022E-2</v>
      </c>
      <c r="M213" s="60">
        <f t="shared" si="493"/>
        <v>5.6978099300719211E-2</v>
      </c>
      <c r="N213" s="35">
        <f t="shared" si="464"/>
        <v>2630.8903</v>
      </c>
      <c r="O213" s="35">
        <f t="shared" si="465"/>
        <v>434.91791732988509</v>
      </c>
      <c r="P213" s="36">
        <f t="shared" si="466"/>
        <v>0.1620150267793902</v>
      </c>
      <c r="Q213" s="35">
        <f>VLOOKUP($B213,REPORTE!$B$3:$AS$200,34,FALSE)/1000000</f>
        <v>1.6890000000000001</v>
      </c>
      <c r="R213" s="36">
        <f t="shared" si="467"/>
        <v>6.2918396627663342E-4</v>
      </c>
      <c r="S213" s="60">
        <f t="shared" si="468"/>
        <v>3.8834914191840349E-3</v>
      </c>
      <c r="T213" s="35">
        <f t="shared" si="469"/>
        <v>416.08657250000005</v>
      </c>
      <c r="U213" s="40">
        <f t="shared" si="470"/>
        <v>0.155</v>
      </c>
      <c r="V213" s="35">
        <f>VLOOKUP($B213,REPORTE!$B$3:$AS$200,35,FALSE)/1000000</f>
        <v>0</v>
      </c>
      <c r="W213" s="36">
        <f t="shared" si="471"/>
        <v>0</v>
      </c>
      <c r="X213" s="145">
        <f t="shared" si="472"/>
        <v>0</v>
      </c>
      <c r="Z213" s="35">
        <f>VLOOKUP($B213,REPORTE!$B$3:$AS$200,32,FALSE)/1000000</f>
        <v>53.539200000000001</v>
      </c>
      <c r="AA213" s="36">
        <f t="shared" si="473"/>
        <v>1.9944349441846022E-2</v>
      </c>
      <c r="AB213" s="60">
        <f t="shared" si="474"/>
        <v>5.6978099300719211E-2</v>
      </c>
      <c r="AC213" s="35">
        <f t="shared" si="475"/>
        <v>2630.8903</v>
      </c>
      <c r="AD213" s="35">
        <f>VLOOKUP($B213,REPORTE!$B$3:$AS$200,34,FALSE)/1000000</f>
        <v>1.6890000000000001</v>
      </c>
      <c r="AE213" s="36">
        <f t="shared" si="476"/>
        <v>6.2918396627663342E-4</v>
      </c>
      <c r="AF213" s="127">
        <f t="shared" si="477"/>
        <v>3.8834914191840349E-3</v>
      </c>
    </row>
    <row r="214" spans="1:32" s="41" customFormat="1" ht="21.75" customHeight="1">
      <c r="A214" s="38" t="s">
        <v>31</v>
      </c>
      <c r="B214" s="34" t="s">
        <v>31</v>
      </c>
      <c r="C214" s="35">
        <f>VLOOKUP(B214,REPORTE!$B$3:$AS$200,26,FALSE)/1000000</f>
        <v>1339.2650000000001</v>
      </c>
      <c r="D214" s="35">
        <f>VLOOKUP(B214,REPORTE!$B$3:$AS$200,27,FALSE)/1000000</f>
        <v>0</v>
      </c>
      <c r="E214" s="35">
        <f>VLOOKUP(B214,REPORTE!$B$3:$AS$200,28,FALSE)/1000000</f>
        <v>0</v>
      </c>
      <c r="F214" s="35">
        <f>VLOOKUP(B214,REPORTE!$B$3:$AS$200,29,FALSE)/1000000</f>
        <v>1339.2650000000001</v>
      </c>
      <c r="G214" s="35">
        <f>(VLOOKUP(B214,REPORTE!$B$3:$AS$200,30,FALSE)/1000000)</f>
        <v>0</v>
      </c>
      <c r="H214" s="35">
        <f t="shared" si="459"/>
        <v>1339.2650000000001</v>
      </c>
      <c r="I214" s="35">
        <f t="shared" si="460"/>
        <v>468.79010502368152</v>
      </c>
      <c r="J214" s="36">
        <f t="shared" si="461"/>
        <v>0.3500353589645675</v>
      </c>
      <c r="K214" s="35">
        <f>VLOOKUP($B214,REPORTE!$B$3:$AS$200,32,FALSE)/1000000</f>
        <v>1339.2650000000001</v>
      </c>
      <c r="L214" s="36">
        <f t="shared" si="462"/>
        <v>1</v>
      </c>
      <c r="M214" s="60">
        <f t="shared" si="493"/>
        <v>2.8568542416916958</v>
      </c>
      <c r="N214" s="35">
        <f t="shared" si="464"/>
        <v>0</v>
      </c>
      <c r="O214" s="35">
        <f t="shared" si="465"/>
        <v>216.98105483970002</v>
      </c>
      <c r="P214" s="36">
        <f t="shared" si="466"/>
        <v>0.1620150267793902</v>
      </c>
      <c r="Q214" s="35">
        <f>VLOOKUP($B214,REPORTE!$B$3:$AS$200,34,FALSE)/1000000</f>
        <v>223.210826</v>
      </c>
      <c r="R214" s="36">
        <f t="shared" si="467"/>
        <v>0.16666666119102641</v>
      </c>
      <c r="S214" s="60">
        <f t="shared" si="468"/>
        <v>1.0287111294804165</v>
      </c>
      <c r="T214" s="35">
        <f t="shared" si="469"/>
        <v>207.58607500000002</v>
      </c>
      <c r="U214" s="40">
        <f t="shared" si="470"/>
        <v>0.155</v>
      </c>
      <c r="V214" s="35">
        <f>VLOOKUP($B214,REPORTE!$B$3:$AS$200,35,FALSE)/1000000</f>
        <v>223.210826</v>
      </c>
      <c r="W214" s="36">
        <f t="shared" si="471"/>
        <v>0.16666666119102641</v>
      </c>
      <c r="X214" s="145">
        <f t="shared" si="472"/>
        <v>1.0752687818775897</v>
      </c>
      <c r="Z214" s="35">
        <f>VLOOKUP($B214,REPORTE!$B$3:$AS$200,32,FALSE)/1000000</f>
        <v>1339.2650000000001</v>
      </c>
      <c r="AA214" s="36">
        <f t="shared" si="473"/>
        <v>1</v>
      </c>
      <c r="AB214" s="60">
        <f t="shared" si="474"/>
        <v>2.8568542416916958</v>
      </c>
      <c r="AC214" s="35">
        <f t="shared" si="475"/>
        <v>0</v>
      </c>
      <c r="AD214" s="35">
        <f>VLOOKUP($B214,REPORTE!$B$3:$AS$200,34,FALSE)/1000000</f>
        <v>223.210826</v>
      </c>
      <c r="AE214" s="36">
        <f t="shared" si="476"/>
        <v>0.16666666119102641</v>
      </c>
      <c r="AF214" s="127">
        <f t="shared" si="477"/>
        <v>1.0287111294804165</v>
      </c>
    </row>
    <row r="215" spans="1:32" s="41" customFormat="1" ht="21.75" customHeight="1">
      <c r="A215" s="38" t="s">
        <v>281</v>
      </c>
      <c r="B215" s="43" t="s">
        <v>219</v>
      </c>
      <c r="C215" s="35">
        <f>VLOOKUP(B215,REPORTE!$B$3:$AS$200,26,FALSE)/1000000</f>
        <v>2779.0169999999998</v>
      </c>
      <c r="D215" s="35">
        <f>VLOOKUP(B215,REPORTE!$B$3:$AS$200,27,FALSE)/1000000</f>
        <v>0</v>
      </c>
      <c r="E215" s="35">
        <f>VLOOKUP(B215,REPORTE!$B$3:$AS$200,28,FALSE)/1000000</f>
        <v>0</v>
      </c>
      <c r="F215" s="35">
        <f>VLOOKUP(B215,REPORTE!$B$3:$AS$200,29,FALSE)/1000000</f>
        <v>2779.0169999999998</v>
      </c>
      <c r="G215" s="35">
        <f>(VLOOKUP(B215,REPORTE!$B$3:$AS$200,30,FALSE)/1000000)</f>
        <v>0</v>
      </c>
      <c r="H215" s="35">
        <f t="shared" si="459"/>
        <v>2779.0169999999998</v>
      </c>
      <c r="I215" s="35">
        <f t="shared" si="460"/>
        <v>972.75421316363543</v>
      </c>
      <c r="J215" s="36">
        <f t="shared" si="461"/>
        <v>0.3500353589645675</v>
      </c>
      <c r="K215" s="35">
        <f>VLOOKUP($B215,REPORTE!$B$3:$AS$200,32,FALSE)/1000000</f>
        <v>934.93605700000001</v>
      </c>
      <c r="L215" s="36">
        <f t="shared" si="462"/>
        <v>0.33642689375415841</v>
      </c>
      <c r="M215" s="60">
        <f t="shared" si="493"/>
        <v>0.96112259844072889</v>
      </c>
      <c r="N215" s="35">
        <f t="shared" si="464"/>
        <v>1844.0809429999999</v>
      </c>
      <c r="O215" s="35">
        <f t="shared" si="465"/>
        <v>450.24251367538056</v>
      </c>
      <c r="P215" s="36">
        <f t="shared" si="466"/>
        <v>0.1620150267793902</v>
      </c>
      <c r="Q215" s="35">
        <f>VLOOKUP($B215,REPORTE!$B$3:$AS$200,34,FALSE)/1000000</f>
        <v>934.93605700000001</v>
      </c>
      <c r="R215" s="36">
        <f t="shared" si="467"/>
        <v>0.33642689375415841</v>
      </c>
      <c r="S215" s="60">
        <f t="shared" si="468"/>
        <v>2.0765166073901176</v>
      </c>
      <c r="T215" s="35">
        <f t="shared" si="469"/>
        <v>430.74763499999995</v>
      </c>
      <c r="U215" s="40">
        <f t="shared" si="470"/>
        <v>0.155</v>
      </c>
      <c r="V215" s="35">
        <f>VLOOKUP($B215,REPORTE!$B$3:$AS$200,35,FALSE)/1000000</f>
        <v>934.93605700000001</v>
      </c>
      <c r="W215" s="36">
        <f t="shared" si="471"/>
        <v>0.33642689375415841</v>
      </c>
      <c r="X215" s="145">
        <f t="shared" si="472"/>
        <v>2.1704960887365057</v>
      </c>
      <c r="Z215" s="35">
        <f>VLOOKUP($B215,REPORTE!$B$3:$AS$200,32,FALSE)/1000000</f>
        <v>934.93605700000001</v>
      </c>
      <c r="AA215" s="36">
        <f t="shared" si="473"/>
        <v>0.33642689375415841</v>
      </c>
      <c r="AB215" s="60">
        <f t="shared" si="474"/>
        <v>0.96112259844072889</v>
      </c>
      <c r="AC215" s="35">
        <f t="shared" si="475"/>
        <v>1844.0809429999999</v>
      </c>
      <c r="AD215" s="35">
        <f>VLOOKUP($B215,REPORTE!$B$3:$AS$200,34,FALSE)/1000000</f>
        <v>934.93605700000001</v>
      </c>
      <c r="AE215" s="36">
        <f t="shared" si="476"/>
        <v>0.33642689375415841</v>
      </c>
      <c r="AF215" s="127">
        <f t="shared" si="477"/>
        <v>2.0765166073901176</v>
      </c>
    </row>
    <row r="216" spans="1:32" s="41" customFormat="1" ht="21.75" customHeight="1">
      <c r="A216" s="38" t="s">
        <v>34</v>
      </c>
      <c r="B216" s="34" t="s">
        <v>34</v>
      </c>
      <c r="C216" s="35">
        <f>VLOOKUP(B216,REPORTE!$B$3:$AS$200,26,FALSE)/1000000</f>
        <v>2822</v>
      </c>
      <c r="D216" s="35">
        <f>VLOOKUP(B216,REPORTE!$B$3:$AS$200,27,FALSE)/1000000</f>
        <v>0</v>
      </c>
      <c r="E216" s="35">
        <f>VLOOKUP(B216,REPORTE!$B$3:$AS$200,28,FALSE)/1000000</f>
        <v>0</v>
      </c>
      <c r="F216" s="35">
        <f>VLOOKUP(B216,REPORTE!$B$3:$AS$200,29,FALSE)/1000000</f>
        <v>2822</v>
      </c>
      <c r="G216" s="35">
        <f>(VLOOKUP(B216,REPORTE!$B$3:$AS$200,30,FALSE)/1000000)</f>
        <v>0</v>
      </c>
      <c r="H216" s="35">
        <f t="shared" si="459"/>
        <v>2822</v>
      </c>
      <c r="I216" s="35">
        <f t="shared" si="460"/>
        <v>987.7997829980095</v>
      </c>
      <c r="J216" s="36">
        <f t="shared" si="461"/>
        <v>0.3500353589645675</v>
      </c>
      <c r="K216" s="35">
        <f>VLOOKUP($B216,REPORTE!$B$3:$AS$200,32,FALSE)/1000000</f>
        <v>659.26915099999997</v>
      </c>
      <c r="L216" s="36">
        <f t="shared" si="462"/>
        <v>0.23361770056697376</v>
      </c>
      <c r="M216" s="60">
        <f t="shared" ref="M216" si="494">L216/J216</f>
        <v>0.6674117187990195</v>
      </c>
      <c r="N216" s="35">
        <f t="shared" si="464"/>
        <v>2162.730849</v>
      </c>
      <c r="O216" s="35">
        <f t="shared" si="465"/>
        <v>457.20640557143912</v>
      </c>
      <c r="P216" s="36">
        <f t="shared" si="466"/>
        <v>0.1620150267793902</v>
      </c>
      <c r="Q216" s="35">
        <f>VLOOKUP($B216,REPORTE!$B$3:$AS$200,34,FALSE)/1000000</f>
        <v>439.51279099999999</v>
      </c>
      <c r="R216" s="36">
        <f t="shared" si="467"/>
        <v>0.15574514209780296</v>
      </c>
      <c r="S216" s="60">
        <f t="shared" si="468"/>
        <v>0.96130059781353061</v>
      </c>
      <c r="T216" s="35">
        <f t="shared" si="469"/>
        <v>437.41</v>
      </c>
      <c r="U216" s="40">
        <f t="shared" si="470"/>
        <v>0.155</v>
      </c>
      <c r="V216" s="35">
        <f>VLOOKUP($B216,REPORTE!$B$3:$AS$200,35,FALSE)/1000000</f>
        <v>439.51279099999999</v>
      </c>
      <c r="W216" s="36">
        <f t="shared" si="471"/>
        <v>0.15574514209780296</v>
      </c>
      <c r="X216" s="145">
        <f t="shared" si="472"/>
        <v>1.0048073683729224</v>
      </c>
      <c r="Z216" s="35">
        <f>VLOOKUP($B216,REPORTE!$B$3:$AS$200,32,FALSE)/1000000</f>
        <v>659.26915099999997</v>
      </c>
      <c r="AA216" s="36">
        <f t="shared" si="473"/>
        <v>0.23361770056697376</v>
      </c>
      <c r="AB216" s="60">
        <f t="shared" si="474"/>
        <v>0.6674117187990195</v>
      </c>
      <c r="AC216" s="35">
        <f t="shared" si="475"/>
        <v>2162.730849</v>
      </c>
      <c r="AD216" s="35">
        <f>VLOOKUP($B216,REPORTE!$B$3:$AS$200,34,FALSE)/1000000</f>
        <v>439.51279099999999</v>
      </c>
      <c r="AE216" s="36">
        <f t="shared" si="476"/>
        <v>0.15574514209780296</v>
      </c>
      <c r="AF216" s="127">
        <f t="shared" si="477"/>
        <v>0.96130059781353061</v>
      </c>
    </row>
    <row r="217" spans="1:32">
      <c r="A217" s="290" t="s">
        <v>245</v>
      </c>
      <c r="B217" s="291"/>
      <c r="C217" s="260">
        <f t="shared" ref="C217" si="495">SUM(C186:C216)</f>
        <v>90596.826020000008</v>
      </c>
      <c r="D217" s="260">
        <f t="shared" ref="D217" si="496">SUM(D186:D216)</f>
        <v>0</v>
      </c>
      <c r="E217" s="260">
        <f t="shared" ref="E217" si="497">SUM(E186:E216)</f>
        <v>0</v>
      </c>
      <c r="F217" s="260">
        <f t="shared" ref="F217" si="498">SUM(F186:F216)</f>
        <v>90596.826020000008</v>
      </c>
      <c r="G217" s="260">
        <f t="shared" ref="G217" si="499">SUM(G186:G216)</f>
        <v>0</v>
      </c>
      <c r="H217" s="260">
        <f t="shared" ref="H217" si="500">SUM(H186:H216)</f>
        <v>90596.826020000008</v>
      </c>
      <c r="I217" s="260">
        <f t="shared" si="460"/>
        <v>31712.092516961173</v>
      </c>
      <c r="J217" s="261">
        <f t="shared" ref="J217" si="501">$J$6</f>
        <v>0.3500353589645675</v>
      </c>
      <c r="K217" s="260">
        <f>SUM(K186:K216)</f>
        <v>24611.617483949998</v>
      </c>
      <c r="L217" s="261">
        <f t="shared" ref="L217" si="502">K217/$H217</f>
        <v>0.27166092417538751</v>
      </c>
      <c r="M217" s="262">
        <f t="shared" ref="M217" si="503">L217/J217</f>
        <v>0.77609566353234194</v>
      </c>
      <c r="N217" s="260">
        <f>SUM(N186:N216)</f>
        <v>65985.20853605002</v>
      </c>
      <c r="O217" s="260">
        <f t="shared" si="465"/>
        <v>14678.047193758055</v>
      </c>
      <c r="P217" s="261">
        <f t="shared" ref="P217" si="504">$P$6</f>
        <v>0.1620150267793902</v>
      </c>
      <c r="Q217" s="260">
        <f>SUM(Q186:Q216)</f>
        <v>22464.39826075</v>
      </c>
      <c r="R217" s="261">
        <f t="shared" ref="R217" si="505">Q217/$H217</f>
        <v>0.24796010244101482</v>
      </c>
      <c r="S217" s="262">
        <f t="shared" si="468"/>
        <v>1.5304759525710712</v>
      </c>
      <c r="T217" s="260">
        <f t="shared" si="469"/>
        <v>14042.508033100001</v>
      </c>
      <c r="U217" s="263">
        <f t="shared" si="470"/>
        <v>0.155</v>
      </c>
      <c r="V217" s="260">
        <f>SUM(V186:V216)</f>
        <v>21572.10441675</v>
      </c>
      <c r="W217" s="261">
        <f t="shared" ref="W217" si="506">V217/$H217</f>
        <v>0.23811103947491249</v>
      </c>
      <c r="X217" s="264">
        <f t="shared" si="472"/>
        <v>1.5362002546768547</v>
      </c>
      <c r="Z217" s="260">
        <f>SUM(Z186:Z216)</f>
        <v>24611.617483949998</v>
      </c>
      <c r="AA217" s="261">
        <f>Z217/$F217</f>
        <v>0.27166092417538751</v>
      </c>
      <c r="AB217" s="262">
        <f t="shared" si="474"/>
        <v>0.77609566353234194</v>
      </c>
      <c r="AC217" s="260">
        <f>SUM(AC186:AC216)</f>
        <v>65985.20853605002</v>
      </c>
      <c r="AD217" s="260">
        <f>SUM(AD186:AD216)</f>
        <v>22464.39826075</v>
      </c>
      <c r="AE217" s="261">
        <f>AD217/$F217</f>
        <v>0.24796010244101482</v>
      </c>
      <c r="AF217" s="264">
        <f t="shared" si="477"/>
        <v>1.5304759525710712</v>
      </c>
    </row>
    <row r="218" spans="1:32">
      <c r="A218" s="135"/>
      <c r="X218" s="146"/>
      <c r="AF218" s="133"/>
    </row>
    <row r="219" spans="1:32" ht="26.25" customHeight="1">
      <c r="A219" s="292" t="s">
        <v>226</v>
      </c>
      <c r="B219" s="293"/>
      <c r="C219" s="293"/>
      <c r="D219" s="293"/>
      <c r="E219" s="293"/>
      <c r="F219" s="293"/>
      <c r="G219" s="293"/>
      <c r="H219" s="293"/>
      <c r="I219" s="294" t="s">
        <v>2</v>
      </c>
      <c r="J219" s="295"/>
      <c r="K219" s="295"/>
      <c r="L219" s="295"/>
      <c r="M219" s="295"/>
      <c r="N219" s="296" t="s">
        <v>367</v>
      </c>
      <c r="O219" s="298" t="s">
        <v>3</v>
      </c>
      <c r="P219" s="299"/>
      <c r="Q219" s="299"/>
      <c r="R219" s="299"/>
      <c r="S219" s="300"/>
      <c r="T219" s="301" t="s">
        <v>113</v>
      </c>
      <c r="U219" s="301"/>
      <c r="V219" s="301"/>
      <c r="W219" s="301"/>
      <c r="X219" s="302"/>
      <c r="Z219" s="299" t="s">
        <v>2</v>
      </c>
      <c r="AA219" s="299"/>
      <c r="AB219" s="300"/>
      <c r="AC219" s="296" t="s">
        <v>367</v>
      </c>
      <c r="AD219" s="299" t="s">
        <v>3</v>
      </c>
      <c r="AE219" s="299"/>
      <c r="AF219" s="308"/>
    </row>
    <row r="220" spans="1:32" ht="33" customHeight="1">
      <c r="A220" s="256" t="s">
        <v>0</v>
      </c>
      <c r="B220" s="257" t="s">
        <v>243</v>
      </c>
      <c r="C220" s="255" t="s">
        <v>361</v>
      </c>
      <c r="D220" s="257" t="s">
        <v>355</v>
      </c>
      <c r="E220" s="257" t="s">
        <v>356</v>
      </c>
      <c r="F220" s="255" t="s">
        <v>1</v>
      </c>
      <c r="G220" s="255" t="s">
        <v>362</v>
      </c>
      <c r="H220" s="255" t="s">
        <v>358</v>
      </c>
      <c r="I220" s="255" t="s">
        <v>257</v>
      </c>
      <c r="J220" s="266" t="s">
        <v>4</v>
      </c>
      <c r="K220" s="255" t="s">
        <v>5</v>
      </c>
      <c r="L220" s="303" t="s">
        <v>4</v>
      </c>
      <c r="M220" s="304"/>
      <c r="N220" s="297"/>
      <c r="O220" s="255" t="str">
        <f>I220</f>
        <v>Meta</v>
      </c>
      <c r="P220" s="266" t="s">
        <v>4</v>
      </c>
      <c r="Q220" s="255" t="s">
        <v>5</v>
      </c>
      <c r="R220" s="303" t="s">
        <v>4</v>
      </c>
      <c r="S220" s="304"/>
      <c r="T220" s="255" t="str">
        <f>O220</f>
        <v>Meta</v>
      </c>
      <c r="U220" s="255" t="s">
        <v>4</v>
      </c>
      <c r="V220" s="255" t="s">
        <v>5</v>
      </c>
      <c r="W220" s="303" t="s">
        <v>4</v>
      </c>
      <c r="X220" s="305"/>
      <c r="Z220" s="255" t="s">
        <v>5</v>
      </c>
      <c r="AA220" s="303" t="s">
        <v>4</v>
      </c>
      <c r="AB220" s="304"/>
      <c r="AC220" s="297"/>
      <c r="AD220" s="255" t="s">
        <v>5</v>
      </c>
      <c r="AE220" s="303" t="s">
        <v>4</v>
      </c>
      <c r="AF220" s="309"/>
    </row>
    <row r="221" spans="1:32" s="41" customFormat="1">
      <c r="A221" s="38" t="s">
        <v>24</v>
      </c>
      <c r="B221" s="41" t="s">
        <v>24</v>
      </c>
      <c r="C221" s="35">
        <f>VLOOKUP(B221,REPORTE!$B$3:$AS$200,14,FALSE)/1000000</f>
        <v>0</v>
      </c>
      <c r="D221" s="35">
        <f>VLOOKUP(B221,REPORTE!$B$3:$AS$200,15,FALSE)/1000000</f>
        <v>0</v>
      </c>
      <c r="E221" s="35">
        <f>VLOOKUP(B221,REPORTE!$B$3:$AS$200,16,FALSE)/1000000</f>
        <v>0</v>
      </c>
      <c r="F221" s="35">
        <f>VLOOKUP(B221,REPORTE!$B$3:$AS$200,17,FALSE)/1000000</f>
        <v>0</v>
      </c>
      <c r="G221" s="35">
        <f>(VLOOKUP(B221,REPORTE!$B$3:$AS$200,18,FALSE)/1000000)</f>
        <v>0</v>
      </c>
      <c r="H221" s="35">
        <f t="shared" ref="H221:H251" si="507">F221-G221</f>
        <v>0</v>
      </c>
      <c r="I221" s="35">
        <f t="shared" ref="I221:I252" si="508">J221*$H221</f>
        <v>0</v>
      </c>
      <c r="J221" s="36">
        <f t="shared" ref="J221:J251" si="509">$J$6</f>
        <v>0.3500353589645675</v>
      </c>
      <c r="K221" s="35">
        <f>VLOOKUP($B221,REPORTE!$B$3:$AS$200,20,FALSE)/1000000</f>
        <v>0</v>
      </c>
      <c r="L221" s="36" t="str">
        <f t="shared" ref="L221:L251" si="510">IF(H221=0,"",IF(H221="","",K221/$H221))</f>
        <v/>
      </c>
      <c r="M221" s="60" t="e">
        <f t="shared" ref="M221:M251" si="511">L221/J221</f>
        <v>#VALUE!</v>
      </c>
      <c r="N221" s="35">
        <f t="shared" ref="N221:N251" si="512">H221-K221</f>
        <v>0</v>
      </c>
      <c r="O221" s="35">
        <f t="shared" ref="O221:O252" si="513">P221*$H221</f>
        <v>0</v>
      </c>
      <c r="P221" s="36">
        <f t="shared" ref="P221:P251" si="514">$P$6</f>
        <v>0.1620150267793902</v>
      </c>
      <c r="Q221" s="35">
        <f>VLOOKUP($B221,REPORTE!$B$3:$AS$200,22,FALSE)/1000000</f>
        <v>0</v>
      </c>
      <c r="R221" s="36" t="str">
        <f t="shared" ref="R221:R251" si="515">IF(H221=0,"",IF(H221="","",Q221/$H221))</f>
        <v/>
      </c>
      <c r="S221" s="60" t="e">
        <f t="shared" ref="S221:S252" si="516">R221/P221</f>
        <v>#VALUE!</v>
      </c>
      <c r="T221" s="39">
        <f t="shared" ref="T221:T252" si="517">U221*$H221</f>
        <v>0</v>
      </c>
      <c r="U221" s="40">
        <f t="shared" ref="U221:U252" si="518">$U$6</f>
        <v>0.155</v>
      </c>
      <c r="V221" s="35">
        <f>VLOOKUP($B221,REPORTE!$B$3:$AS$200,23,FALSE)/1000000</f>
        <v>0</v>
      </c>
      <c r="W221" s="36" t="str">
        <f t="shared" ref="W221:W251" si="519">IF(H221=0,"",IF(H221="","",V221/$H221))</f>
        <v/>
      </c>
      <c r="X221" s="145" t="e">
        <f t="shared" ref="X221:X252" si="520">W221/U221</f>
        <v>#VALUE!</v>
      </c>
      <c r="Z221" s="35">
        <f>VLOOKUP($B221,REPORTE!$B$3:$AS$200,20,FALSE)/1000000</f>
        <v>0</v>
      </c>
      <c r="AA221" s="36" t="str">
        <f t="shared" ref="AA221:AA251" si="521">IF(F221=0,"",IF(F221="","",Z221/$F221))</f>
        <v/>
      </c>
      <c r="AB221" s="60" t="e">
        <f t="shared" ref="AB221:AB252" si="522">AA221/$J221</f>
        <v>#VALUE!</v>
      </c>
      <c r="AC221" s="60"/>
      <c r="AD221" s="35">
        <f>VLOOKUP($B221,REPORTE!$B$3:$AS$200,22,FALSE)/1000000</f>
        <v>0</v>
      </c>
      <c r="AE221" s="36" t="str">
        <f t="shared" ref="AE221:AE251" si="523">IF(F221=0,"",IF(F221="","",AD221/$F221))</f>
        <v/>
      </c>
      <c r="AF221" s="127" t="e">
        <f t="shared" ref="AF221:AF252" si="524">AE221/P221</f>
        <v>#VALUE!</v>
      </c>
    </row>
    <row r="222" spans="1:32" s="41" customFormat="1" ht="21.95" customHeight="1">
      <c r="A222" s="38" t="s">
        <v>392</v>
      </c>
      <c r="B222" s="34" t="s">
        <v>392</v>
      </c>
      <c r="C222" s="35">
        <f>VLOOKUP(B222,REPORTE!$B$3:$AS$200,14,FALSE)/1000000</f>
        <v>0</v>
      </c>
      <c r="D222" s="35">
        <f>VLOOKUP(B222,REPORTE!$B$3:$AS$200,15,FALSE)/1000000</f>
        <v>0</v>
      </c>
      <c r="E222" s="35">
        <f>VLOOKUP(B222,REPORTE!$B$3:$AS$200,16,FALSE)/1000000</f>
        <v>0</v>
      </c>
      <c r="F222" s="35">
        <f>VLOOKUP(B222,REPORTE!$B$3:$AS$200,17,FALSE)/1000000</f>
        <v>0</v>
      </c>
      <c r="G222" s="35">
        <f>(VLOOKUP(B222,REPORTE!$B$3:$AS$200,18,FALSE)/1000000)</f>
        <v>0</v>
      </c>
      <c r="H222" s="35">
        <f t="shared" ref="H222" si="525">F222-G222</f>
        <v>0</v>
      </c>
      <c r="I222" s="35">
        <f t="shared" ref="I222" si="526">J222*$H222</f>
        <v>0</v>
      </c>
      <c r="J222" s="36">
        <f t="shared" si="509"/>
        <v>0.3500353589645675</v>
      </c>
      <c r="K222" s="35">
        <f>VLOOKUP($B222,REPORTE!$B$3:$AS$200,20,FALSE)/1000000</f>
        <v>0</v>
      </c>
      <c r="L222" s="36" t="str">
        <f t="shared" ref="L222" si="527">IF(H222=0,"",IF(H222="","",K222/$H222))</f>
        <v/>
      </c>
      <c r="M222" s="60" t="e">
        <f t="shared" ref="M222" si="528">L222/J222</f>
        <v>#VALUE!</v>
      </c>
      <c r="N222" s="35">
        <f t="shared" ref="N222" si="529">H222-K222</f>
        <v>0</v>
      </c>
      <c r="O222" s="35">
        <f t="shared" ref="O222" si="530">P222*$H222</f>
        <v>0</v>
      </c>
      <c r="P222" s="36">
        <f t="shared" si="514"/>
        <v>0.1620150267793902</v>
      </c>
      <c r="Q222" s="35">
        <f>VLOOKUP($B222,REPORTE!$B$3:$AS$200,22,FALSE)/1000000</f>
        <v>0</v>
      </c>
      <c r="R222" s="36" t="str">
        <f t="shared" ref="R222" si="531">IF(H222=0,"",IF(H222="","",Q222/$H222))</f>
        <v/>
      </c>
      <c r="S222" s="60" t="e">
        <f t="shared" ref="S222" si="532">R222/P222</f>
        <v>#VALUE!</v>
      </c>
      <c r="T222" s="39">
        <f t="shared" ref="T222" si="533">U222*$H222</f>
        <v>0</v>
      </c>
      <c r="U222" s="40">
        <f t="shared" si="518"/>
        <v>0.155</v>
      </c>
      <c r="V222" s="35">
        <f>VLOOKUP($B222,REPORTE!$B$3:$AS$200,23,FALSE)/1000000</f>
        <v>0</v>
      </c>
      <c r="W222" s="36" t="str">
        <f t="shared" ref="W222" si="534">IF(H222=0,"",IF(H222="","",V222/$H222))</f>
        <v/>
      </c>
      <c r="X222" s="145" t="e">
        <f t="shared" ref="X222" si="535">W222/U222</f>
        <v>#VALUE!</v>
      </c>
      <c r="Z222" s="35">
        <f>VLOOKUP($B222,REPORTE!$B$3:$AS$200,20,FALSE)/1000000</f>
        <v>0</v>
      </c>
      <c r="AA222" s="36" t="str">
        <f t="shared" ref="AA222" si="536">IF(F222=0,"",IF(F222="","",Z222/$F222))</f>
        <v/>
      </c>
      <c r="AB222" s="60" t="e">
        <f t="shared" ref="AB222" si="537">AA222/$J222</f>
        <v>#VALUE!</v>
      </c>
      <c r="AC222" s="60"/>
      <c r="AD222" s="35">
        <f>VLOOKUP($B222,REPORTE!$B$3:$AS$200,22,FALSE)/1000000</f>
        <v>0</v>
      </c>
      <c r="AE222" s="36" t="str">
        <f t="shared" ref="AE222" si="538">IF(F222=0,"",IF(F222="","",AD222/$F222))</f>
        <v/>
      </c>
      <c r="AF222" s="127" t="e">
        <f t="shared" ref="AF222" si="539">AE222/P222</f>
        <v>#VALUE!</v>
      </c>
    </row>
    <row r="223" spans="1:32" s="41" customFormat="1" ht="21.95" customHeight="1">
      <c r="A223" s="38" t="s">
        <v>27</v>
      </c>
      <c r="B223" s="34" t="s">
        <v>27</v>
      </c>
      <c r="C223" s="35">
        <f>VLOOKUP(B223,REPORTE!$B$3:$AS$200,14,FALSE)/1000000</f>
        <v>0</v>
      </c>
      <c r="D223" s="35">
        <f>VLOOKUP(B223,REPORTE!$B$3:$AS$200,15,FALSE)/1000000</f>
        <v>0</v>
      </c>
      <c r="E223" s="35">
        <f>VLOOKUP(B223,REPORTE!$B$3:$AS$200,16,FALSE)/1000000</f>
        <v>0</v>
      </c>
      <c r="F223" s="35">
        <f>VLOOKUP(B223,REPORTE!$B$3:$AS$200,17,FALSE)/1000000</f>
        <v>0</v>
      </c>
      <c r="G223" s="35">
        <f>(VLOOKUP(B223,REPORTE!$B$3:$AS$200,18,FALSE)/1000000)</f>
        <v>0</v>
      </c>
      <c r="H223" s="35">
        <f t="shared" si="507"/>
        <v>0</v>
      </c>
      <c r="I223" s="35">
        <f t="shared" si="508"/>
        <v>0</v>
      </c>
      <c r="J223" s="36">
        <f t="shared" si="509"/>
        <v>0.3500353589645675</v>
      </c>
      <c r="K223" s="35">
        <f>VLOOKUP($B223,REPORTE!$B$3:$AS$200,20,FALSE)/1000000</f>
        <v>0</v>
      </c>
      <c r="L223" s="36" t="str">
        <f t="shared" si="510"/>
        <v/>
      </c>
      <c r="M223" s="60" t="e">
        <f t="shared" si="511"/>
        <v>#VALUE!</v>
      </c>
      <c r="N223" s="35">
        <f t="shared" si="512"/>
        <v>0</v>
      </c>
      <c r="O223" s="35">
        <f t="shared" si="513"/>
        <v>0</v>
      </c>
      <c r="P223" s="36">
        <f t="shared" si="514"/>
        <v>0.1620150267793902</v>
      </c>
      <c r="Q223" s="35">
        <f>VLOOKUP($B223,REPORTE!$B$3:$AS$200,22,FALSE)/1000000</f>
        <v>0</v>
      </c>
      <c r="R223" s="36" t="str">
        <f t="shared" si="515"/>
        <v/>
      </c>
      <c r="S223" s="60" t="e">
        <f t="shared" si="516"/>
        <v>#VALUE!</v>
      </c>
      <c r="T223" s="39">
        <f t="shared" si="517"/>
        <v>0</v>
      </c>
      <c r="U223" s="40">
        <f t="shared" si="518"/>
        <v>0.155</v>
      </c>
      <c r="V223" s="35">
        <f>VLOOKUP($B223,REPORTE!$B$3:$AS$200,23,FALSE)/1000000</f>
        <v>0</v>
      </c>
      <c r="W223" s="36" t="str">
        <f t="shared" si="519"/>
        <v/>
      </c>
      <c r="X223" s="145" t="e">
        <f t="shared" si="520"/>
        <v>#VALUE!</v>
      </c>
      <c r="Z223" s="35">
        <f>VLOOKUP($B223,REPORTE!$B$3:$AS$200,20,FALSE)/1000000</f>
        <v>0</v>
      </c>
      <c r="AA223" s="36" t="str">
        <f t="shared" si="521"/>
        <v/>
      </c>
      <c r="AB223" s="60" t="e">
        <f t="shared" si="522"/>
        <v>#VALUE!</v>
      </c>
      <c r="AC223" s="60"/>
      <c r="AD223" s="35">
        <f>VLOOKUP($B223,REPORTE!$B$3:$AS$200,22,FALSE)/1000000</f>
        <v>0</v>
      </c>
      <c r="AE223" s="36" t="str">
        <f t="shared" si="523"/>
        <v/>
      </c>
      <c r="AF223" s="127" t="e">
        <f t="shared" si="524"/>
        <v>#VALUE!</v>
      </c>
    </row>
    <row r="224" spans="1:32" s="41" customFormat="1" ht="21.95" customHeight="1">
      <c r="A224" s="38" t="s">
        <v>28</v>
      </c>
      <c r="B224" s="34" t="s">
        <v>28</v>
      </c>
      <c r="C224" s="35">
        <f>VLOOKUP(B224,REPORTE!$B$3:$AS$200,14,FALSE)/1000000</f>
        <v>11987.09561</v>
      </c>
      <c r="D224" s="35">
        <f>VLOOKUP(B224,REPORTE!$B$3:$AS$200,15,FALSE)/1000000</f>
        <v>0</v>
      </c>
      <c r="E224" s="35">
        <f>VLOOKUP(B224,REPORTE!$B$3:$AS$200,16,FALSE)/1000000</f>
        <v>0</v>
      </c>
      <c r="F224" s="35">
        <f>VLOOKUP(B224,REPORTE!$B$3:$AS$200,17,FALSE)/1000000</f>
        <v>11987.09561</v>
      </c>
      <c r="G224" s="35">
        <f>(VLOOKUP(B224,REPORTE!$B$3:$AS$200,18,FALSE)/1000000)</f>
        <v>0</v>
      </c>
      <c r="H224" s="35">
        <f t="shared" si="507"/>
        <v>11987.09561</v>
      </c>
      <c r="I224" s="35">
        <f t="shared" si="508"/>
        <v>4195.9073147889412</v>
      </c>
      <c r="J224" s="36">
        <f t="shared" si="509"/>
        <v>0.3500353589645675</v>
      </c>
      <c r="K224" s="35">
        <f>VLOOKUP($B224,REPORTE!$B$3:$AS$200,20,FALSE)/1000000</f>
        <v>11986.916526999999</v>
      </c>
      <c r="L224" s="36">
        <f t="shared" si="510"/>
        <v>0.99998506035107859</v>
      </c>
      <c r="M224" s="60">
        <f t="shared" si="511"/>
        <v>2.8568115612923051</v>
      </c>
      <c r="N224" s="35">
        <f t="shared" si="512"/>
        <v>0.17908300000090094</v>
      </c>
      <c r="O224" s="35">
        <f t="shared" si="513"/>
        <v>1942.0896162612607</v>
      </c>
      <c r="P224" s="36">
        <f t="shared" si="514"/>
        <v>0.1620150267793902</v>
      </c>
      <c r="Q224" s="35">
        <f>VLOOKUP($B224,REPORTE!$B$3:$AS$200,22,FALSE)/1000000</f>
        <v>0</v>
      </c>
      <c r="R224" s="36">
        <f t="shared" si="515"/>
        <v>0</v>
      </c>
      <c r="S224" s="60">
        <f t="shared" si="516"/>
        <v>0</v>
      </c>
      <c r="T224" s="39">
        <f t="shared" si="517"/>
        <v>1857.99981955</v>
      </c>
      <c r="U224" s="40">
        <f t="shared" si="518"/>
        <v>0.155</v>
      </c>
      <c r="V224" s="35">
        <f>VLOOKUP($B224,REPORTE!$B$3:$AS$200,23,FALSE)/1000000</f>
        <v>0</v>
      </c>
      <c r="W224" s="36">
        <f t="shared" si="519"/>
        <v>0</v>
      </c>
      <c r="X224" s="145">
        <f t="shared" si="520"/>
        <v>0</v>
      </c>
      <c r="Z224" s="35">
        <f>VLOOKUP($B224,REPORTE!$B$3:$AS$200,20,FALSE)/1000000</f>
        <v>11986.916526999999</v>
      </c>
      <c r="AA224" s="36">
        <f t="shared" si="521"/>
        <v>0.99998506035107859</v>
      </c>
      <c r="AB224" s="60">
        <f t="shared" si="522"/>
        <v>2.8568115612923051</v>
      </c>
      <c r="AC224" s="35">
        <f t="shared" ref="AC224:AC249" si="540">F224-Z224</f>
        <v>0.17908300000090094</v>
      </c>
      <c r="AD224" s="35">
        <f>VLOOKUP($B224,REPORTE!$B$3:$AS$200,22,FALSE)/1000000</f>
        <v>0</v>
      </c>
      <c r="AE224" s="36">
        <f t="shared" si="523"/>
        <v>0</v>
      </c>
      <c r="AF224" s="127">
        <f t="shared" si="524"/>
        <v>0</v>
      </c>
    </row>
    <row r="225" spans="1:32" s="41" customFormat="1" ht="21.95" customHeight="1">
      <c r="A225" s="38" t="s">
        <v>29</v>
      </c>
      <c r="B225" s="34" t="s">
        <v>29</v>
      </c>
      <c r="C225" s="35">
        <f>VLOOKUP(B225,REPORTE!$B$3:$AS$200,14,FALSE)/1000000</f>
        <v>0</v>
      </c>
      <c r="D225" s="35">
        <f>VLOOKUP(B225,REPORTE!$B$3:$AS$200,15,FALSE)/1000000</f>
        <v>0</v>
      </c>
      <c r="E225" s="35">
        <f>VLOOKUP(B225,REPORTE!$B$3:$AS$200,16,FALSE)/1000000</f>
        <v>0</v>
      </c>
      <c r="F225" s="35">
        <f>VLOOKUP(B225,REPORTE!$B$3:$AS$200,17,FALSE)/1000000</f>
        <v>0</v>
      </c>
      <c r="G225" s="35">
        <f>(VLOOKUP(B225,REPORTE!$B$3:$AS$200,18,FALSE)/1000000)</f>
        <v>0</v>
      </c>
      <c r="H225" s="35">
        <f t="shared" si="507"/>
        <v>0</v>
      </c>
      <c r="I225" s="35">
        <f t="shared" si="508"/>
        <v>0</v>
      </c>
      <c r="J225" s="36">
        <f t="shared" si="509"/>
        <v>0.3500353589645675</v>
      </c>
      <c r="K225" s="35">
        <f>VLOOKUP($B225,REPORTE!$B$3:$AS$200,20,FALSE)/1000000</f>
        <v>0</v>
      </c>
      <c r="L225" s="36" t="str">
        <f t="shared" si="510"/>
        <v/>
      </c>
      <c r="M225" s="60" t="e">
        <f t="shared" si="511"/>
        <v>#VALUE!</v>
      </c>
      <c r="N225" s="35">
        <f t="shared" si="512"/>
        <v>0</v>
      </c>
      <c r="O225" s="35">
        <f t="shared" si="513"/>
        <v>0</v>
      </c>
      <c r="P225" s="36">
        <f t="shared" si="514"/>
        <v>0.1620150267793902</v>
      </c>
      <c r="Q225" s="35">
        <f>VLOOKUP($B225,REPORTE!$B$3:$AS$200,22,FALSE)/1000000</f>
        <v>0</v>
      </c>
      <c r="R225" s="36" t="str">
        <f t="shared" si="515"/>
        <v/>
      </c>
      <c r="S225" s="60" t="e">
        <f t="shared" si="516"/>
        <v>#VALUE!</v>
      </c>
      <c r="T225" s="39">
        <f t="shared" si="517"/>
        <v>0</v>
      </c>
      <c r="U225" s="40">
        <f t="shared" si="518"/>
        <v>0.155</v>
      </c>
      <c r="V225" s="35">
        <f>VLOOKUP($B225,REPORTE!$B$3:$AS$200,23,FALSE)/1000000</f>
        <v>0</v>
      </c>
      <c r="W225" s="36" t="str">
        <f t="shared" si="519"/>
        <v/>
      </c>
      <c r="X225" s="145" t="e">
        <f t="shared" si="520"/>
        <v>#VALUE!</v>
      </c>
      <c r="Z225" s="35">
        <f>VLOOKUP($B225,REPORTE!$B$3:$AS$200,20,FALSE)/1000000</f>
        <v>0</v>
      </c>
      <c r="AA225" s="36" t="str">
        <f t="shared" si="521"/>
        <v/>
      </c>
      <c r="AB225" s="60" t="e">
        <f t="shared" si="522"/>
        <v>#VALUE!</v>
      </c>
      <c r="AC225" s="35">
        <f t="shared" si="540"/>
        <v>0</v>
      </c>
      <c r="AD225" s="35">
        <f>VLOOKUP($B225,REPORTE!$B$3:$AS$200,22,FALSE)/1000000</f>
        <v>0</v>
      </c>
      <c r="AE225" s="36" t="str">
        <f t="shared" si="523"/>
        <v/>
      </c>
      <c r="AF225" s="127" t="e">
        <f t="shared" si="524"/>
        <v>#VALUE!</v>
      </c>
    </row>
    <row r="226" spans="1:32" s="41" customFormat="1" ht="21.95" customHeight="1">
      <c r="A226" s="38" t="s">
        <v>30</v>
      </c>
      <c r="B226" s="34" t="s">
        <v>30</v>
      </c>
      <c r="C226" s="35">
        <f>VLOOKUP(B226,REPORTE!$B$3:$AS$200,14,FALSE)/1000000</f>
        <v>3740.8053570000002</v>
      </c>
      <c r="D226" s="35">
        <f>VLOOKUP(B226,REPORTE!$B$3:$AS$200,15,FALSE)/1000000</f>
        <v>0</v>
      </c>
      <c r="E226" s="35">
        <f>VLOOKUP(B226,REPORTE!$B$3:$AS$200,16,FALSE)/1000000</f>
        <v>0</v>
      </c>
      <c r="F226" s="35">
        <f>VLOOKUP(B226,REPORTE!$B$3:$AS$200,17,FALSE)/1000000</f>
        <v>3740.8053570000002</v>
      </c>
      <c r="G226" s="35">
        <f>(VLOOKUP(B226,REPORTE!$B$3:$AS$200,18,FALSE)/1000000)</f>
        <v>0</v>
      </c>
      <c r="H226" s="35">
        <f t="shared" si="507"/>
        <v>3740.8053570000002</v>
      </c>
      <c r="I226" s="35">
        <f t="shared" si="508"/>
        <v>1309.4141459540722</v>
      </c>
      <c r="J226" s="36">
        <f t="shared" si="509"/>
        <v>0.3500353589645675</v>
      </c>
      <c r="K226" s="35">
        <f>VLOOKUP($B226,REPORTE!$B$3:$AS$200,20,FALSE)/1000000</f>
        <v>3675.9803499999998</v>
      </c>
      <c r="L226" s="36">
        <f t="shared" si="510"/>
        <v>0.98267084202103805</v>
      </c>
      <c r="M226" s="60">
        <f t="shared" si="511"/>
        <v>2.8073473632145527</v>
      </c>
      <c r="N226" s="35">
        <f t="shared" si="512"/>
        <v>64.825007000000369</v>
      </c>
      <c r="O226" s="35">
        <f t="shared" si="513"/>
        <v>606.06668009084137</v>
      </c>
      <c r="P226" s="36">
        <f t="shared" si="514"/>
        <v>0.1620150267793902</v>
      </c>
      <c r="Q226" s="35">
        <f>VLOOKUP($B226,REPORTE!$B$3:$AS$200,22,FALSE)/1000000</f>
        <v>27.376393</v>
      </c>
      <c r="R226" s="36">
        <f t="shared" si="515"/>
        <v>7.3183152790272264E-3</v>
      </c>
      <c r="S226" s="60">
        <f t="shared" si="516"/>
        <v>4.5170595743518921E-2</v>
      </c>
      <c r="T226" s="39">
        <f t="shared" si="517"/>
        <v>579.824830335</v>
      </c>
      <c r="U226" s="40">
        <f t="shared" si="518"/>
        <v>0.155</v>
      </c>
      <c r="V226" s="35">
        <f>VLOOKUP($B226,REPORTE!$B$3:$AS$200,23,FALSE)/1000000</f>
        <v>27.376393</v>
      </c>
      <c r="W226" s="36">
        <f t="shared" si="519"/>
        <v>7.3183152790272264E-3</v>
      </c>
      <c r="X226" s="145">
        <f t="shared" si="520"/>
        <v>4.7214937284046625E-2</v>
      </c>
      <c r="Z226" s="35">
        <f>VLOOKUP($B226,REPORTE!$B$3:$AS$200,20,FALSE)/1000000</f>
        <v>3675.9803499999998</v>
      </c>
      <c r="AA226" s="36">
        <f t="shared" si="521"/>
        <v>0.98267084202103805</v>
      </c>
      <c r="AB226" s="60">
        <f t="shared" si="522"/>
        <v>2.8073473632145527</v>
      </c>
      <c r="AC226" s="35">
        <f t="shared" si="540"/>
        <v>64.825007000000369</v>
      </c>
      <c r="AD226" s="35">
        <f>VLOOKUP($B226,REPORTE!$B$3:$AS$200,22,FALSE)/1000000</f>
        <v>27.376393</v>
      </c>
      <c r="AE226" s="36">
        <f t="shared" si="523"/>
        <v>7.3183152790272264E-3</v>
      </c>
      <c r="AF226" s="127">
        <f t="shared" si="524"/>
        <v>4.5170595743518921E-2</v>
      </c>
    </row>
    <row r="227" spans="1:32" s="41" customFormat="1" ht="21.95" customHeight="1">
      <c r="A227" s="38" t="s">
        <v>32</v>
      </c>
      <c r="B227" s="34" t="s">
        <v>32</v>
      </c>
      <c r="C227" s="35">
        <f>VLOOKUP(B227,REPORTE!$B$3:$AS$200,14,FALSE)/1000000</f>
        <v>0</v>
      </c>
      <c r="D227" s="35">
        <f>VLOOKUP(B227,REPORTE!$B$3:$AS$200,15,FALSE)/1000000</f>
        <v>0</v>
      </c>
      <c r="E227" s="35">
        <f>VLOOKUP(B227,REPORTE!$B$3:$AS$200,16,FALSE)/1000000</f>
        <v>0</v>
      </c>
      <c r="F227" s="35">
        <f>VLOOKUP(B227,REPORTE!$B$3:$AS$200,17,FALSE)/1000000</f>
        <v>0</v>
      </c>
      <c r="G227" s="35">
        <f>(VLOOKUP(B227,REPORTE!$B$3:$AS$200,18,FALSE)/1000000)</f>
        <v>0</v>
      </c>
      <c r="H227" s="35">
        <f t="shared" si="507"/>
        <v>0</v>
      </c>
      <c r="I227" s="35">
        <f t="shared" si="508"/>
        <v>0</v>
      </c>
      <c r="J227" s="36">
        <f t="shared" si="509"/>
        <v>0.3500353589645675</v>
      </c>
      <c r="K227" s="35">
        <f>VLOOKUP($B227,REPORTE!$B$3:$AS$200,20,FALSE)/1000000</f>
        <v>0</v>
      </c>
      <c r="L227" s="36" t="str">
        <f t="shared" si="510"/>
        <v/>
      </c>
      <c r="M227" s="60" t="e">
        <f t="shared" si="511"/>
        <v>#VALUE!</v>
      </c>
      <c r="N227" s="35">
        <f t="shared" si="512"/>
        <v>0</v>
      </c>
      <c r="O227" s="35">
        <f t="shared" si="513"/>
        <v>0</v>
      </c>
      <c r="P227" s="36">
        <f t="shared" si="514"/>
        <v>0.1620150267793902</v>
      </c>
      <c r="Q227" s="35">
        <f>VLOOKUP($B227,REPORTE!$B$3:$AS$200,22,FALSE)/1000000</f>
        <v>0</v>
      </c>
      <c r="R227" s="36" t="str">
        <f t="shared" si="515"/>
        <v/>
      </c>
      <c r="S227" s="60" t="e">
        <f t="shared" si="516"/>
        <v>#VALUE!</v>
      </c>
      <c r="T227" s="39">
        <f t="shared" si="517"/>
        <v>0</v>
      </c>
      <c r="U227" s="40">
        <f t="shared" si="518"/>
        <v>0.155</v>
      </c>
      <c r="V227" s="35">
        <f>VLOOKUP($B227,REPORTE!$B$3:$AS$200,23,FALSE)/1000000</f>
        <v>0</v>
      </c>
      <c r="W227" s="36" t="str">
        <f t="shared" si="519"/>
        <v/>
      </c>
      <c r="X227" s="145" t="e">
        <f t="shared" si="520"/>
        <v>#VALUE!</v>
      </c>
      <c r="Z227" s="35">
        <f>VLOOKUP($B227,REPORTE!$B$3:$AS$200,20,FALSE)/1000000</f>
        <v>0</v>
      </c>
      <c r="AA227" s="36" t="str">
        <f t="shared" si="521"/>
        <v/>
      </c>
      <c r="AB227" s="60" t="e">
        <f t="shared" si="522"/>
        <v>#VALUE!</v>
      </c>
      <c r="AC227" s="35">
        <f t="shared" si="540"/>
        <v>0</v>
      </c>
      <c r="AD227" s="35">
        <f>VLOOKUP($B227,REPORTE!$B$3:$AS$200,22,FALSE)/1000000</f>
        <v>0</v>
      </c>
      <c r="AE227" s="36" t="str">
        <f t="shared" si="523"/>
        <v/>
      </c>
      <c r="AF227" s="127" t="e">
        <f t="shared" si="524"/>
        <v>#VALUE!</v>
      </c>
    </row>
    <row r="228" spans="1:32" s="41" customFormat="1" ht="21.95" customHeight="1">
      <c r="A228" s="38" t="s">
        <v>33</v>
      </c>
      <c r="B228" s="34" t="s">
        <v>33</v>
      </c>
      <c r="C228" s="35">
        <f>VLOOKUP(B228,REPORTE!$B$3:$AS$200,14,FALSE)/1000000</f>
        <v>0</v>
      </c>
      <c r="D228" s="35">
        <f>VLOOKUP(B228,REPORTE!$B$3:$AS$200,15,FALSE)/1000000</f>
        <v>0</v>
      </c>
      <c r="E228" s="35">
        <f>VLOOKUP(B228,REPORTE!$B$3:$AS$200,16,FALSE)/1000000</f>
        <v>0</v>
      </c>
      <c r="F228" s="35">
        <f>VLOOKUP(B228,REPORTE!$B$3:$AS$200,17,FALSE)/1000000</f>
        <v>0</v>
      </c>
      <c r="G228" s="35">
        <f>(VLOOKUP(B228,REPORTE!$B$3:$AS$200,18,FALSE)/1000000)</f>
        <v>0</v>
      </c>
      <c r="H228" s="35">
        <f t="shared" si="507"/>
        <v>0</v>
      </c>
      <c r="I228" s="35">
        <f t="shared" si="508"/>
        <v>0</v>
      </c>
      <c r="J228" s="36">
        <f t="shared" si="509"/>
        <v>0.3500353589645675</v>
      </c>
      <c r="K228" s="35">
        <f>VLOOKUP($B228,REPORTE!$B$3:$AS$200,20,FALSE)/1000000</f>
        <v>0</v>
      </c>
      <c r="L228" s="36" t="str">
        <f t="shared" si="510"/>
        <v/>
      </c>
      <c r="M228" s="60" t="e">
        <f t="shared" si="511"/>
        <v>#VALUE!</v>
      </c>
      <c r="N228" s="35">
        <f t="shared" si="512"/>
        <v>0</v>
      </c>
      <c r="O228" s="35">
        <f t="shared" si="513"/>
        <v>0</v>
      </c>
      <c r="P228" s="36">
        <f t="shared" si="514"/>
        <v>0.1620150267793902</v>
      </c>
      <c r="Q228" s="35">
        <f>VLOOKUP($B228,REPORTE!$B$3:$AS$200,22,FALSE)/1000000</f>
        <v>0</v>
      </c>
      <c r="R228" s="36" t="str">
        <f t="shared" si="515"/>
        <v/>
      </c>
      <c r="S228" s="60" t="e">
        <f t="shared" si="516"/>
        <v>#VALUE!</v>
      </c>
      <c r="T228" s="39">
        <f t="shared" si="517"/>
        <v>0</v>
      </c>
      <c r="U228" s="40">
        <f t="shared" si="518"/>
        <v>0.155</v>
      </c>
      <c r="V228" s="35">
        <f>VLOOKUP($B228,REPORTE!$B$3:$AS$200,23,FALSE)/1000000</f>
        <v>0</v>
      </c>
      <c r="W228" s="36" t="str">
        <f t="shared" si="519"/>
        <v/>
      </c>
      <c r="X228" s="145" t="e">
        <f t="shared" si="520"/>
        <v>#VALUE!</v>
      </c>
      <c r="Z228" s="35">
        <f>VLOOKUP($B228,REPORTE!$B$3:$AS$200,20,FALSE)/1000000</f>
        <v>0</v>
      </c>
      <c r="AA228" s="36" t="str">
        <f t="shared" si="521"/>
        <v/>
      </c>
      <c r="AB228" s="60" t="e">
        <f t="shared" si="522"/>
        <v>#VALUE!</v>
      </c>
      <c r="AC228" s="35">
        <f t="shared" si="540"/>
        <v>0</v>
      </c>
      <c r="AD228" s="35">
        <f>VLOOKUP($B228,REPORTE!$B$3:$AS$200,22,FALSE)/1000000</f>
        <v>0</v>
      </c>
      <c r="AE228" s="36" t="str">
        <f t="shared" si="523"/>
        <v/>
      </c>
      <c r="AF228" s="127" t="e">
        <f t="shared" si="524"/>
        <v>#VALUE!</v>
      </c>
    </row>
    <row r="229" spans="1:32" s="41" customFormat="1" ht="21.95" customHeight="1">
      <c r="A229" s="38" t="s">
        <v>35</v>
      </c>
      <c r="B229" s="34" t="s">
        <v>35</v>
      </c>
      <c r="C229" s="35">
        <f>VLOOKUP(B229,REPORTE!$B$3:$AS$200,14,FALSE)/1000000</f>
        <v>0</v>
      </c>
      <c r="D229" s="35">
        <f>VLOOKUP(B229,REPORTE!$B$3:$AS$200,15,FALSE)/1000000</f>
        <v>0</v>
      </c>
      <c r="E229" s="35">
        <f>VLOOKUP(B229,REPORTE!$B$3:$AS$200,16,FALSE)/1000000</f>
        <v>0</v>
      </c>
      <c r="F229" s="35">
        <f>VLOOKUP(B229,REPORTE!$B$3:$AS$200,17,FALSE)/1000000</f>
        <v>0</v>
      </c>
      <c r="G229" s="35">
        <f>(VLOOKUP(B229,REPORTE!$B$3:$AS$200,18,FALSE)/1000000)</f>
        <v>0</v>
      </c>
      <c r="H229" s="35">
        <f t="shared" si="507"/>
        <v>0</v>
      </c>
      <c r="I229" s="35">
        <f t="shared" si="508"/>
        <v>0</v>
      </c>
      <c r="J229" s="36">
        <f t="shared" si="509"/>
        <v>0.3500353589645675</v>
      </c>
      <c r="K229" s="35">
        <f>VLOOKUP($B229,REPORTE!$B$3:$AS$200,20,FALSE)/1000000</f>
        <v>0</v>
      </c>
      <c r="L229" s="36" t="str">
        <f t="shared" si="510"/>
        <v/>
      </c>
      <c r="M229" s="60" t="e">
        <f t="shared" si="511"/>
        <v>#VALUE!</v>
      </c>
      <c r="N229" s="35">
        <f t="shared" si="512"/>
        <v>0</v>
      </c>
      <c r="O229" s="35">
        <f t="shared" si="513"/>
        <v>0</v>
      </c>
      <c r="P229" s="36">
        <f t="shared" si="514"/>
        <v>0.1620150267793902</v>
      </c>
      <c r="Q229" s="35">
        <f>VLOOKUP($B229,REPORTE!$B$3:$AS$200,22,FALSE)/1000000</f>
        <v>0</v>
      </c>
      <c r="R229" s="36" t="str">
        <f t="shared" si="515"/>
        <v/>
      </c>
      <c r="S229" s="60" t="e">
        <f t="shared" si="516"/>
        <v>#VALUE!</v>
      </c>
      <c r="T229" s="39">
        <f t="shared" si="517"/>
        <v>0</v>
      </c>
      <c r="U229" s="40">
        <f t="shared" si="518"/>
        <v>0.155</v>
      </c>
      <c r="V229" s="35">
        <f>VLOOKUP($B229,REPORTE!$B$3:$AS$200,23,FALSE)/1000000</f>
        <v>0</v>
      </c>
      <c r="W229" s="36" t="str">
        <f t="shared" si="519"/>
        <v/>
      </c>
      <c r="X229" s="145" t="e">
        <f t="shared" si="520"/>
        <v>#VALUE!</v>
      </c>
      <c r="Z229" s="35">
        <f>VLOOKUP($B229,REPORTE!$B$3:$AS$200,20,FALSE)/1000000</f>
        <v>0</v>
      </c>
      <c r="AA229" s="36" t="str">
        <f t="shared" si="521"/>
        <v/>
      </c>
      <c r="AB229" s="60" t="e">
        <f t="shared" si="522"/>
        <v>#VALUE!</v>
      </c>
      <c r="AC229" s="35">
        <f t="shared" si="540"/>
        <v>0</v>
      </c>
      <c r="AD229" s="35">
        <f>VLOOKUP($B229,REPORTE!$B$3:$AS$200,22,FALSE)/1000000</f>
        <v>0</v>
      </c>
      <c r="AE229" s="36" t="str">
        <f t="shared" si="523"/>
        <v/>
      </c>
      <c r="AF229" s="127" t="e">
        <f t="shared" si="524"/>
        <v>#VALUE!</v>
      </c>
    </row>
    <row r="230" spans="1:32" s="41" customFormat="1" ht="21.95" customHeight="1">
      <c r="A230" s="38" t="s">
        <v>36</v>
      </c>
      <c r="B230" s="34" t="s">
        <v>36</v>
      </c>
      <c r="C230" s="35">
        <f>VLOOKUP(B230,REPORTE!$B$3:$AS$200,14,FALSE)/1000000</f>
        <v>0</v>
      </c>
      <c r="D230" s="35">
        <f>VLOOKUP(B230,REPORTE!$B$3:$AS$200,15,FALSE)/1000000</f>
        <v>0</v>
      </c>
      <c r="E230" s="35">
        <f>VLOOKUP(B230,REPORTE!$B$3:$AS$200,16,FALSE)/1000000</f>
        <v>0</v>
      </c>
      <c r="F230" s="35">
        <f>VLOOKUP(B230,REPORTE!$B$3:$AS$200,17,FALSE)/1000000</f>
        <v>0</v>
      </c>
      <c r="G230" s="35">
        <f>(VLOOKUP(B230,REPORTE!$B$3:$AS$200,18,FALSE)/1000000)</f>
        <v>0</v>
      </c>
      <c r="H230" s="35">
        <f t="shared" si="507"/>
        <v>0</v>
      </c>
      <c r="I230" s="35">
        <f t="shared" si="508"/>
        <v>0</v>
      </c>
      <c r="J230" s="36">
        <f t="shared" si="509"/>
        <v>0.3500353589645675</v>
      </c>
      <c r="K230" s="35">
        <f>VLOOKUP($B230,REPORTE!$B$3:$AS$200,20,FALSE)/1000000</f>
        <v>0</v>
      </c>
      <c r="L230" s="36" t="str">
        <f t="shared" si="510"/>
        <v/>
      </c>
      <c r="M230" s="60" t="e">
        <f t="shared" si="511"/>
        <v>#VALUE!</v>
      </c>
      <c r="N230" s="35">
        <f t="shared" si="512"/>
        <v>0</v>
      </c>
      <c r="O230" s="35">
        <f t="shared" si="513"/>
        <v>0</v>
      </c>
      <c r="P230" s="36">
        <f t="shared" si="514"/>
        <v>0.1620150267793902</v>
      </c>
      <c r="Q230" s="35">
        <f>VLOOKUP($B230,REPORTE!$B$3:$AS$200,22,FALSE)/1000000</f>
        <v>0</v>
      </c>
      <c r="R230" s="36" t="str">
        <f t="shared" si="515"/>
        <v/>
      </c>
      <c r="S230" s="60" t="e">
        <f t="shared" si="516"/>
        <v>#VALUE!</v>
      </c>
      <c r="T230" s="39">
        <f t="shared" si="517"/>
        <v>0</v>
      </c>
      <c r="U230" s="40">
        <f t="shared" si="518"/>
        <v>0.155</v>
      </c>
      <c r="V230" s="35">
        <f>VLOOKUP($B230,REPORTE!$B$3:$AS$200,23,FALSE)/1000000</f>
        <v>0</v>
      </c>
      <c r="W230" s="36" t="str">
        <f t="shared" si="519"/>
        <v/>
      </c>
      <c r="X230" s="145" t="e">
        <f t="shared" si="520"/>
        <v>#VALUE!</v>
      </c>
      <c r="Z230" s="35">
        <f>VLOOKUP($B230,REPORTE!$B$3:$AS$200,20,FALSE)/1000000</f>
        <v>0</v>
      </c>
      <c r="AA230" s="36" t="str">
        <f t="shared" si="521"/>
        <v/>
      </c>
      <c r="AB230" s="60" t="e">
        <f t="shared" si="522"/>
        <v>#VALUE!</v>
      </c>
      <c r="AC230" s="35">
        <f t="shared" si="540"/>
        <v>0</v>
      </c>
      <c r="AD230" s="35">
        <f>VLOOKUP($B230,REPORTE!$B$3:$AS$200,22,FALSE)/1000000</f>
        <v>0</v>
      </c>
      <c r="AE230" s="36" t="str">
        <f t="shared" si="523"/>
        <v/>
      </c>
      <c r="AF230" s="127" t="e">
        <f t="shared" si="524"/>
        <v>#VALUE!</v>
      </c>
    </row>
    <row r="231" spans="1:32" s="41" customFormat="1" ht="21.95" customHeight="1">
      <c r="A231" s="38" t="s">
        <v>37</v>
      </c>
      <c r="B231" s="34" t="s">
        <v>37</v>
      </c>
      <c r="C231" s="35">
        <f>VLOOKUP(B231,REPORTE!$B$3:$AS$200,14,FALSE)/1000000</f>
        <v>0</v>
      </c>
      <c r="D231" s="35">
        <f>VLOOKUP(B231,REPORTE!$B$3:$AS$200,15,FALSE)/1000000</f>
        <v>0</v>
      </c>
      <c r="E231" s="35">
        <f>VLOOKUP(B231,REPORTE!$B$3:$AS$200,16,FALSE)/1000000</f>
        <v>0</v>
      </c>
      <c r="F231" s="35">
        <f>VLOOKUP(B231,REPORTE!$B$3:$AS$200,17,FALSE)/1000000</f>
        <v>0</v>
      </c>
      <c r="G231" s="35">
        <f>(VLOOKUP(B231,REPORTE!$B$3:$AS$200,18,FALSE)/1000000)</f>
        <v>0</v>
      </c>
      <c r="H231" s="35">
        <f t="shared" si="507"/>
        <v>0</v>
      </c>
      <c r="I231" s="35">
        <f t="shared" si="508"/>
        <v>0</v>
      </c>
      <c r="J231" s="36">
        <f t="shared" si="509"/>
        <v>0.3500353589645675</v>
      </c>
      <c r="K231" s="35">
        <f>VLOOKUP($B231,REPORTE!$B$3:$AS$200,20,FALSE)/1000000</f>
        <v>0</v>
      </c>
      <c r="L231" s="36" t="str">
        <f t="shared" si="510"/>
        <v/>
      </c>
      <c r="M231" s="60" t="e">
        <f t="shared" si="511"/>
        <v>#VALUE!</v>
      </c>
      <c r="N231" s="35">
        <f t="shared" si="512"/>
        <v>0</v>
      </c>
      <c r="O231" s="35">
        <f t="shared" si="513"/>
        <v>0</v>
      </c>
      <c r="P231" s="36">
        <f t="shared" si="514"/>
        <v>0.1620150267793902</v>
      </c>
      <c r="Q231" s="35">
        <f>VLOOKUP($B231,REPORTE!$B$3:$AS$200,22,FALSE)/1000000</f>
        <v>0</v>
      </c>
      <c r="R231" s="36" t="str">
        <f t="shared" si="515"/>
        <v/>
      </c>
      <c r="S231" s="60" t="e">
        <f t="shared" si="516"/>
        <v>#VALUE!</v>
      </c>
      <c r="T231" s="39">
        <f t="shared" si="517"/>
        <v>0</v>
      </c>
      <c r="U231" s="40">
        <f t="shared" si="518"/>
        <v>0.155</v>
      </c>
      <c r="V231" s="35">
        <f>VLOOKUP($B231,REPORTE!$B$3:$AS$200,23,FALSE)/1000000</f>
        <v>0</v>
      </c>
      <c r="W231" s="36" t="str">
        <f t="shared" si="519"/>
        <v/>
      </c>
      <c r="X231" s="145" t="e">
        <f t="shared" si="520"/>
        <v>#VALUE!</v>
      </c>
      <c r="Z231" s="35">
        <f>VLOOKUP($B231,REPORTE!$B$3:$AS$200,20,FALSE)/1000000</f>
        <v>0</v>
      </c>
      <c r="AA231" s="36" t="str">
        <f t="shared" si="521"/>
        <v/>
      </c>
      <c r="AB231" s="60" t="e">
        <f t="shared" si="522"/>
        <v>#VALUE!</v>
      </c>
      <c r="AC231" s="35">
        <f t="shared" si="540"/>
        <v>0</v>
      </c>
      <c r="AD231" s="35">
        <f>VLOOKUP($B231,REPORTE!$B$3:$AS$200,22,FALSE)/1000000</f>
        <v>0</v>
      </c>
      <c r="AE231" s="36" t="str">
        <f t="shared" si="523"/>
        <v/>
      </c>
      <c r="AF231" s="127" t="e">
        <f t="shared" si="524"/>
        <v>#VALUE!</v>
      </c>
    </row>
    <row r="232" spans="1:32" s="41" customFormat="1" ht="21.95" customHeight="1">
      <c r="A232" s="38" t="s">
        <v>38</v>
      </c>
      <c r="B232" s="34" t="s">
        <v>38</v>
      </c>
      <c r="C232" s="35">
        <f>VLOOKUP(B232,REPORTE!$B$3:$AS$200,14,FALSE)/1000000</f>
        <v>0</v>
      </c>
      <c r="D232" s="35">
        <f>VLOOKUP(B232,REPORTE!$B$3:$AS$200,15,FALSE)/1000000</f>
        <v>0</v>
      </c>
      <c r="E232" s="35">
        <f>VLOOKUP(B232,REPORTE!$B$3:$AS$200,16,FALSE)/1000000</f>
        <v>0</v>
      </c>
      <c r="F232" s="35">
        <f>VLOOKUP(B232,REPORTE!$B$3:$AS$200,17,FALSE)/1000000</f>
        <v>0</v>
      </c>
      <c r="G232" s="35">
        <f>(VLOOKUP(B232,REPORTE!$B$3:$AS$200,18,FALSE)/1000000)</f>
        <v>0</v>
      </c>
      <c r="H232" s="35">
        <f t="shared" si="507"/>
        <v>0</v>
      </c>
      <c r="I232" s="35">
        <f t="shared" si="508"/>
        <v>0</v>
      </c>
      <c r="J232" s="36">
        <f t="shared" si="509"/>
        <v>0.3500353589645675</v>
      </c>
      <c r="K232" s="35">
        <f>VLOOKUP($B232,REPORTE!$B$3:$AS$200,20,FALSE)/1000000</f>
        <v>0</v>
      </c>
      <c r="L232" s="36" t="str">
        <f t="shared" si="510"/>
        <v/>
      </c>
      <c r="M232" s="61" t="e">
        <f>L232/J232</f>
        <v>#VALUE!</v>
      </c>
      <c r="N232" s="35">
        <f t="shared" si="512"/>
        <v>0</v>
      </c>
      <c r="O232" s="35">
        <f t="shared" si="513"/>
        <v>0</v>
      </c>
      <c r="P232" s="36">
        <f t="shared" si="514"/>
        <v>0.1620150267793902</v>
      </c>
      <c r="Q232" s="35">
        <f>VLOOKUP($B232,REPORTE!$B$3:$AS$200,22,FALSE)/1000000</f>
        <v>0</v>
      </c>
      <c r="R232" s="36" t="str">
        <f t="shared" si="515"/>
        <v/>
      </c>
      <c r="S232" s="61" t="e">
        <f t="shared" si="516"/>
        <v>#VALUE!</v>
      </c>
      <c r="T232" s="39">
        <f t="shared" si="517"/>
        <v>0</v>
      </c>
      <c r="U232" s="40">
        <f t="shared" si="518"/>
        <v>0.155</v>
      </c>
      <c r="V232" s="35">
        <f>VLOOKUP($B232,REPORTE!$B$3:$AS$200,23,FALSE)/1000000</f>
        <v>0</v>
      </c>
      <c r="W232" s="36" t="str">
        <f t="shared" si="519"/>
        <v/>
      </c>
      <c r="X232" s="145" t="e">
        <f t="shared" si="520"/>
        <v>#VALUE!</v>
      </c>
      <c r="Z232" s="35">
        <f>VLOOKUP($B232,REPORTE!$B$3:$AS$200,20,FALSE)/1000000</f>
        <v>0</v>
      </c>
      <c r="AA232" s="36" t="str">
        <f t="shared" si="521"/>
        <v/>
      </c>
      <c r="AB232" s="62" t="e">
        <f t="shared" si="522"/>
        <v>#VALUE!</v>
      </c>
      <c r="AC232" s="35">
        <f t="shared" si="540"/>
        <v>0</v>
      </c>
      <c r="AD232" s="35">
        <f>VLOOKUP($B232,REPORTE!$B$3:$AS$200,22,FALSE)/1000000</f>
        <v>0</v>
      </c>
      <c r="AE232" s="36" t="str">
        <f t="shared" si="523"/>
        <v/>
      </c>
      <c r="AF232" s="136" t="e">
        <f t="shared" si="524"/>
        <v>#VALUE!</v>
      </c>
    </row>
    <row r="233" spans="1:32" s="41" customFormat="1" ht="21.95" customHeight="1">
      <c r="A233" s="38" t="s">
        <v>39</v>
      </c>
      <c r="B233" s="34" t="s">
        <v>39</v>
      </c>
      <c r="C233" s="35">
        <f>VLOOKUP(B233,REPORTE!$B$3:$AS$200,14,FALSE)/1000000</f>
        <v>0</v>
      </c>
      <c r="D233" s="35">
        <f>VLOOKUP(B233,REPORTE!$B$3:$AS$200,15,FALSE)/1000000</f>
        <v>0</v>
      </c>
      <c r="E233" s="35">
        <f>VLOOKUP(B233,REPORTE!$B$3:$AS$200,16,FALSE)/1000000</f>
        <v>0</v>
      </c>
      <c r="F233" s="35">
        <f>VLOOKUP(B233,REPORTE!$B$3:$AS$200,17,FALSE)/1000000</f>
        <v>0</v>
      </c>
      <c r="G233" s="35">
        <f>(VLOOKUP(B233,REPORTE!$B$3:$AS$200,18,FALSE)/1000000)</f>
        <v>0</v>
      </c>
      <c r="H233" s="35">
        <f t="shared" si="507"/>
        <v>0</v>
      </c>
      <c r="I233" s="35">
        <f t="shared" si="508"/>
        <v>0</v>
      </c>
      <c r="J233" s="36">
        <f t="shared" si="509"/>
        <v>0.3500353589645675</v>
      </c>
      <c r="K233" s="35">
        <f>VLOOKUP($B233,REPORTE!$B$3:$AS$200,20,FALSE)/1000000</f>
        <v>0</v>
      </c>
      <c r="L233" s="36" t="str">
        <f t="shared" si="510"/>
        <v/>
      </c>
      <c r="M233" s="60" t="e">
        <f t="shared" si="511"/>
        <v>#VALUE!</v>
      </c>
      <c r="N233" s="35">
        <f t="shared" si="512"/>
        <v>0</v>
      </c>
      <c r="O233" s="35">
        <f t="shared" si="513"/>
        <v>0</v>
      </c>
      <c r="P233" s="36">
        <f t="shared" si="514"/>
        <v>0.1620150267793902</v>
      </c>
      <c r="Q233" s="35">
        <f>VLOOKUP($B233,REPORTE!$B$3:$AS$200,22,FALSE)/1000000</f>
        <v>0</v>
      </c>
      <c r="R233" s="36" t="str">
        <f t="shared" si="515"/>
        <v/>
      </c>
      <c r="S233" s="60" t="e">
        <f t="shared" si="516"/>
        <v>#VALUE!</v>
      </c>
      <c r="T233" s="39">
        <f t="shared" si="517"/>
        <v>0</v>
      </c>
      <c r="U233" s="40">
        <f t="shared" si="518"/>
        <v>0.155</v>
      </c>
      <c r="V233" s="35">
        <f>VLOOKUP($B233,REPORTE!$B$3:$AS$200,23,FALSE)/1000000</f>
        <v>0</v>
      </c>
      <c r="W233" s="36" t="str">
        <f t="shared" si="519"/>
        <v/>
      </c>
      <c r="X233" s="145" t="e">
        <f t="shared" si="520"/>
        <v>#VALUE!</v>
      </c>
      <c r="Z233" s="35">
        <f>VLOOKUP($B233,REPORTE!$B$3:$AS$200,20,FALSE)/1000000</f>
        <v>0</v>
      </c>
      <c r="AA233" s="36" t="str">
        <f t="shared" si="521"/>
        <v/>
      </c>
      <c r="AB233" s="60" t="e">
        <f t="shared" si="522"/>
        <v>#VALUE!</v>
      </c>
      <c r="AC233" s="35">
        <f t="shared" si="540"/>
        <v>0</v>
      </c>
      <c r="AD233" s="35">
        <f>VLOOKUP($B233,REPORTE!$B$3:$AS$200,22,FALSE)/1000000</f>
        <v>0</v>
      </c>
      <c r="AE233" s="36" t="str">
        <f t="shared" si="523"/>
        <v/>
      </c>
      <c r="AF233" s="127" t="e">
        <f t="shared" si="524"/>
        <v>#VALUE!</v>
      </c>
    </row>
    <row r="234" spans="1:32" s="41" customFormat="1" ht="21.95" customHeight="1">
      <c r="A234" s="38" t="s">
        <v>40</v>
      </c>
      <c r="B234" s="34" t="s">
        <v>40</v>
      </c>
      <c r="C234" s="35">
        <f>VLOOKUP(B234,REPORTE!$B$3:$AS$200,14,FALSE)/1000000</f>
        <v>0</v>
      </c>
      <c r="D234" s="35">
        <f>VLOOKUP(B234,REPORTE!$B$3:$AS$200,15,FALSE)/1000000</f>
        <v>0</v>
      </c>
      <c r="E234" s="35">
        <f>VLOOKUP(B234,REPORTE!$B$3:$AS$200,16,FALSE)/1000000</f>
        <v>0</v>
      </c>
      <c r="F234" s="35">
        <f>VLOOKUP(B234,REPORTE!$B$3:$AS$200,17,FALSE)/1000000</f>
        <v>0</v>
      </c>
      <c r="G234" s="35">
        <f>(VLOOKUP(B234,REPORTE!$B$3:$AS$200,18,FALSE)/1000000)</f>
        <v>0</v>
      </c>
      <c r="H234" s="35">
        <f t="shared" si="507"/>
        <v>0</v>
      </c>
      <c r="I234" s="35">
        <f t="shared" si="508"/>
        <v>0</v>
      </c>
      <c r="J234" s="36">
        <f t="shared" si="509"/>
        <v>0.3500353589645675</v>
      </c>
      <c r="K234" s="35">
        <f>VLOOKUP($B234,REPORTE!$B$3:$AS$200,20,FALSE)/1000000</f>
        <v>0</v>
      </c>
      <c r="L234" s="36" t="str">
        <f t="shared" si="510"/>
        <v/>
      </c>
      <c r="M234" s="61" t="e">
        <f>L234/J234</f>
        <v>#VALUE!</v>
      </c>
      <c r="N234" s="35">
        <f t="shared" si="512"/>
        <v>0</v>
      </c>
      <c r="O234" s="35">
        <f t="shared" si="513"/>
        <v>0</v>
      </c>
      <c r="P234" s="36">
        <f t="shared" si="514"/>
        <v>0.1620150267793902</v>
      </c>
      <c r="Q234" s="35">
        <f>VLOOKUP($B234,REPORTE!$B$3:$AS$200,22,FALSE)/1000000</f>
        <v>0</v>
      </c>
      <c r="R234" s="36" t="str">
        <f t="shared" si="515"/>
        <v/>
      </c>
      <c r="S234" s="61" t="e">
        <f t="shared" si="516"/>
        <v>#VALUE!</v>
      </c>
      <c r="T234" s="39">
        <f t="shared" si="517"/>
        <v>0</v>
      </c>
      <c r="U234" s="40">
        <f t="shared" si="518"/>
        <v>0.155</v>
      </c>
      <c r="V234" s="35">
        <f>VLOOKUP($B234,REPORTE!$B$3:$AS$200,23,FALSE)/1000000</f>
        <v>0</v>
      </c>
      <c r="W234" s="36" t="str">
        <f t="shared" si="519"/>
        <v/>
      </c>
      <c r="X234" s="145" t="e">
        <f t="shared" si="520"/>
        <v>#VALUE!</v>
      </c>
      <c r="Z234" s="35">
        <f>VLOOKUP($B234,REPORTE!$B$3:$AS$200,20,FALSE)/1000000</f>
        <v>0</v>
      </c>
      <c r="AA234" s="36" t="str">
        <f t="shared" si="521"/>
        <v/>
      </c>
      <c r="AB234" s="62" t="e">
        <f t="shared" si="522"/>
        <v>#VALUE!</v>
      </c>
      <c r="AC234" s="35">
        <f t="shared" si="540"/>
        <v>0</v>
      </c>
      <c r="AD234" s="35">
        <f>VLOOKUP($B234,REPORTE!$B$3:$AS$200,22,FALSE)/1000000</f>
        <v>0</v>
      </c>
      <c r="AE234" s="36" t="str">
        <f t="shared" si="523"/>
        <v/>
      </c>
      <c r="AF234" s="136" t="e">
        <f t="shared" si="524"/>
        <v>#VALUE!</v>
      </c>
    </row>
    <row r="235" spans="1:32" s="41" customFormat="1" ht="21.95" customHeight="1">
      <c r="A235" s="38" t="s">
        <v>41</v>
      </c>
      <c r="B235" s="34" t="s">
        <v>41</v>
      </c>
      <c r="C235" s="35">
        <f>VLOOKUP(B235,REPORTE!$B$3:$AS$200,14,FALSE)/1000000</f>
        <v>0</v>
      </c>
      <c r="D235" s="35">
        <f>VLOOKUP(B235,REPORTE!$B$3:$AS$200,15,FALSE)/1000000</f>
        <v>0</v>
      </c>
      <c r="E235" s="35">
        <f>VLOOKUP(B235,REPORTE!$B$3:$AS$200,16,FALSE)/1000000</f>
        <v>0</v>
      </c>
      <c r="F235" s="35">
        <f>VLOOKUP(B235,REPORTE!$B$3:$AS$200,17,FALSE)/1000000</f>
        <v>0</v>
      </c>
      <c r="G235" s="35">
        <f>(VLOOKUP(B235,REPORTE!$B$3:$AS$200,18,FALSE)/1000000)</f>
        <v>0</v>
      </c>
      <c r="H235" s="35">
        <f t="shared" si="507"/>
        <v>0</v>
      </c>
      <c r="I235" s="35">
        <f t="shared" si="508"/>
        <v>0</v>
      </c>
      <c r="J235" s="36">
        <f t="shared" si="509"/>
        <v>0.3500353589645675</v>
      </c>
      <c r="K235" s="35">
        <f>VLOOKUP($B235,REPORTE!$B$3:$AS$200,20,FALSE)/1000000</f>
        <v>0</v>
      </c>
      <c r="L235" s="36" t="str">
        <f t="shared" si="510"/>
        <v/>
      </c>
      <c r="M235" s="60" t="e">
        <f t="shared" si="511"/>
        <v>#VALUE!</v>
      </c>
      <c r="N235" s="35">
        <f t="shared" si="512"/>
        <v>0</v>
      </c>
      <c r="O235" s="35">
        <f t="shared" si="513"/>
        <v>0</v>
      </c>
      <c r="P235" s="36">
        <f t="shared" si="514"/>
        <v>0.1620150267793902</v>
      </c>
      <c r="Q235" s="35">
        <f>VLOOKUP($B235,REPORTE!$B$3:$AS$200,22,FALSE)/1000000</f>
        <v>0</v>
      </c>
      <c r="R235" s="36" t="str">
        <f t="shared" si="515"/>
        <v/>
      </c>
      <c r="S235" s="60" t="e">
        <f t="shared" si="516"/>
        <v>#VALUE!</v>
      </c>
      <c r="T235" s="39">
        <f t="shared" si="517"/>
        <v>0</v>
      </c>
      <c r="U235" s="40">
        <f t="shared" si="518"/>
        <v>0.155</v>
      </c>
      <c r="V235" s="35">
        <f>VLOOKUP($B235,REPORTE!$B$3:$AS$200,23,FALSE)/1000000</f>
        <v>0</v>
      </c>
      <c r="W235" s="36" t="str">
        <f t="shared" si="519"/>
        <v/>
      </c>
      <c r="X235" s="145" t="e">
        <f t="shared" si="520"/>
        <v>#VALUE!</v>
      </c>
      <c r="Z235" s="35">
        <f>VLOOKUP($B235,REPORTE!$B$3:$AS$200,20,FALSE)/1000000</f>
        <v>0</v>
      </c>
      <c r="AA235" s="36" t="str">
        <f t="shared" si="521"/>
        <v/>
      </c>
      <c r="AB235" s="60" t="e">
        <f t="shared" si="522"/>
        <v>#VALUE!</v>
      </c>
      <c r="AC235" s="35">
        <f t="shared" si="540"/>
        <v>0</v>
      </c>
      <c r="AD235" s="35">
        <f>VLOOKUP($B235,REPORTE!$B$3:$AS$200,22,FALSE)/1000000</f>
        <v>0</v>
      </c>
      <c r="AE235" s="36" t="str">
        <f t="shared" si="523"/>
        <v/>
      </c>
      <c r="AF235" s="127" t="e">
        <f t="shared" si="524"/>
        <v>#VALUE!</v>
      </c>
    </row>
    <row r="236" spans="1:32" s="41" customFormat="1" ht="21.95" customHeight="1">
      <c r="A236" s="38" t="s">
        <v>42</v>
      </c>
      <c r="B236" s="34" t="s">
        <v>42</v>
      </c>
      <c r="C236" s="35">
        <f>VLOOKUP(B236,REPORTE!$B$3:$AS$200,14,FALSE)/1000000</f>
        <v>1900.5941029999999</v>
      </c>
      <c r="D236" s="35">
        <f>VLOOKUP(B236,REPORTE!$B$3:$AS$200,15,FALSE)/1000000</f>
        <v>0</v>
      </c>
      <c r="E236" s="35">
        <f>VLOOKUP(B236,REPORTE!$B$3:$AS$200,16,FALSE)/1000000</f>
        <v>0</v>
      </c>
      <c r="F236" s="35">
        <f>VLOOKUP(B236,REPORTE!$B$3:$AS$200,17,FALSE)/1000000</f>
        <v>1900.5941029999999</v>
      </c>
      <c r="G236" s="35">
        <f>(VLOOKUP(B236,REPORTE!$B$3:$AS$200,18,FALSE)/1000000)</f>
        <v>0</v>
      </c>
      <c r="H236" s="35">
        <f t="shared" si="507"/>
        <v>1900.5941029999999</v>
      </c>
      <c r="I236" s="35">
        <f t="shared" si="508"/>
        <v>665.27513908954518</v>
      </c>
      <c r="J236" s="36">
        <f t="shared" si="509"/>
        <v>0.3500353589645675</v>
      </c>
      <c r="K236" s="35">
        <f>VLOOKUP($B236,REPORTE!$B$3:$AS$200,20,FALSE)/1000000</f>
        <v>0</v>
      </c>
      <c r="L236" s="36">
        <f t="shared" si="510"/>
        <v>0</v>
      </c>
      <c r="M236" s="60">
        <f t="shared" si="511"/>
        <v>0</v>
      </c>
      <c r="N236" s="35">
        <f t="shared" si="512"/>
        <v>1900.5941029999999</v>
      </c>
      <c r="O236" s="35">
        <f t="shared" si="513"/>
        <v>307.9248044942961</v>
      </c>
      <c r="P236" s="36">
        <f t="shared" si="514"/>
        <v>0.1620150267793902</v>
      </c>
      <c r="Q236" s="35">
        <f>VLOOKUP($B236,REPORTE!$B$3:$AS$200,22,FALSE)/1000000</f>
        <v>0</v>
      </c>
      <c r="R236" s="36">
        <f t="shared" si="515"/>
        <v>0</v>
      </c>
      <c r="S236" s="60">
        <f t="shared" si="516"/>
        <v>0</v>
      </c>
      <c r="T236" s="39">
        <f t="shared" si="517"/>
        <v>294.59208596499997</v>
      </c>
      <c r="U236" s="40">
        <f t="shared" si="518"/>
        <v>0.155</v>
      </c>
      <c r="V236" s="35">
        <f>VLOOKUP($B236,REPORTE!$B$3:$AS$200,23,FALSE)/1000000</f>
        <v>0</v>
      </c>
      <c r="W236" s="36">
        <f t="shared" si="519"/>
        <v>0</v>
      </c>
      <c r="X236" s="145">
        <f t="shared" si="520"/>
        <v>0</v>
      </c>
      <c r="Z236" s="35">
        <f>VLOOKUP($B236,REPORTE!$B$3:$AS$200,20,FALSE)/1000000</f>
        <v>0</v>
      </c>
      <c r="AA236" s="36">
        <f t="shared" si="521"/>
        <v>0</v>
      </c>
      <c r="AB236" s="60">
        <f t="shared" si="522"/>
        <v>0</v>
      </c>
      <c r="AC236" s="35">
        <f t="shared" si="540"/>
        <v>1900.5941029999999</v>
      </c>
      <c r="AD236" s="35">
        <f>VLOOKUP($B236,REPORTE!$B$3:$AS$200,22,FALSE)/1000000</f>
        <v>0</v>
      </c>
      <c r="AE236" s="36">
        <f t="shared" si="523"/>
        <v>0</v>
      </c>
      <c r="AF236" s="127">
        <f t="shared" si="524"/>
        <v>0</v>
      </c>
    </row>
    <row r="237" spans="1:32" s="41" customFormat="1" ht="21.95" customHeight="1">
      <c r="A237" s="38" t="s">
        <v>43</v>
      </c>
      <c r="B237" s="34" t="s">
        <v>43</v>
      </c>
      <c r="C237" s="35">
        <f>VLOOKUP(B237,REPORTE!$B$3:$AS$200,14,FALSE)/1000000</f>
        <v>0</v>
      </c>
      <c r="D237" s="35">
        <f>VLOOKUP(B237,REPORTE!$B$3:$AS$200,15,FALSE)/1000000</f>
        <v>0</v>
      </c>
      <c r="E237" s="35">
        <f>VLOOKUP(B237,REPORTE!$B$3:$AS$200,16,FALSE)/1000000</f>
        <v>0</v>
      </c>
      <c r="F237" s="35">
        <f>VLOOKUP(B237,REPORTE!$B$3:$AS$200,17,FALSE)/1000000</f>
        <v>0</v>
      </c>
      <c r="G237" s="35">
        <f>(VLOOKUP(B237,REPORTE!$B$3:$AS$200,18,FALSE)/1000000)</f>
        <v>0</v>
      </c>
      <c r="H237" s="35">
        <f t="shared" si="507"/>
        <v>0</v>
      </c>
      <c r="I237" s="35">
        <f t="shared" si="508"/>
        <v>0</v>
      </c>
      <c r="J237" s="36">
        <f t="shared" si="509"/>
        <v>0.3500353589645675</v>
      </c>
      <c r="K237" s="35">
        <f>VLOOKUP($B237,REPORTE!$B$3:$AS$200,20,FALSE)/1000000</f>
        <v>0</v>
      </c>
      <c r="L237" s="36" t="str">
        <f t="shared" si="510"/>
        <v/>
      </c>
      <c r="M237" s="60" t="e">
        <f t="shared" si="511"/>
        <v>#VALUE!</v>
      </c>
      <c r="N237" s="35">
        <f t="shared" si="512"/>
        <v>0</v>
      </c>
      <c r="O237" s="35">
        <f t="shared" si="513"/>
        <v>0</v>
      </c>
      <c r="P237" s="36">
        <f t="shared" si="514"/>
        <v>0.1620150267793902</v>
      </c>
      <c r="Q237" s="35">
        <f>VLOOKUP($B237,REPORTE!$B$3:$AS$200,22,FALSE)/1000000</f>
        <v>0</v>
      </c>
      <c r="R237" s="36" t="str">
        <f t="shared" si="515"/>
        <v/>
      </c>
      <c r="S237" s="60" t="e">
        <f t="shared" si="516"/>
        <v>#VALUE!</v>
      </c>
      <c r="T237" s="39">
        <f t="shared" si="517"/>
        <v>0</v>
      </c>
      <c r="U237" s="40">
        <f t="shared" si="518"/>
        <v>0.155</v>
      </c>
      <c r="V237" s="35">
        <f>VLOOKUP($B237,REPORTE!$B$3:$AS$200,23,FALSE)/1000000</f>
        <v>0</v>
      </c>
      <c r="W237" s="36" t="str">
        <f t="shared" si="519"/>
        <v/>
      </c>
      <c r="X237" s="145" t="e">
        <f t="shared" si="520"/>
        <v>#VALUE!</v>
      </c>
      <c r="Z237" s="35">
        <f>VLOOKUP($B237,REPORTE!$B$3:$AS$200,20,FALSE)/1000000</f>
        <v>0</v>
      </c>
      <c r="AA237" s="36" t="str">
        <f t="shared" si="521"/>
        <v/>
      </c>
      <c r="AB237" s="60" t="e">
        <f t="shared" si="522"/>
        <v>#VALUE!</v>
      </c>
      <c r="AC237" s="35">
        <f t="shared" si="540"/>
        <v>0</v>
      </c>
      <c r="AD237" s="35">
        <f>VLOOKUP($B237,REPORTE!$B$3:$AS$200,22,FALSE)/1000000</f>
        <v>0</v>
      </c>
      <c r="AE237" s="36" t="str">
        <f t="shared" si="523"/>
        <v/>
      </c>
      <c r="AF237" s="127" t="e">
        <f t="shared" si="524"/>
        <v>#VALUE!</v>
      </c>
    </row>
    <row r="238" spans="1:32" s="41" customFormat="1" ht="21.95" customHeight="1">
      <c r="A238" s="38" t="s">
        <v>44</v>
      </c>
      <c r="B238" s="34" t="s">
        <v>44</v>
      </c>
      <c r="C238" s="35">
        <f>VLOOKUP(B238,REPORTE!$B$3:$AS$200,14,FALSE)/1000000</f>
        <v>0</v>
      </c>
      <c r="D238" s="35">
        <f>VLOOKUP(B238,REPORTE!$B$3:$AS$200,15,FALSE)/1000000</f>
        <v>0</v>
      </c>
      <c r="E238" s="35">
        <f>VLOOKUP(B238,REPORTE!$B$3:$AS$200,16,FALSE)/1000000</f>
        <v>0</v>
      </c>
      <c r="F238" s="35">
        <f>VLOOKUP(B238,REPORTE!$B$3:$AS$200,17,FALSE)/1000000</f>
        <v>0</v>
      </c>
      <c r="G238" s="35">
        <f>(VLOOKUP(B238,REPORTE!$B$3:$AS$200,18,FALSE)/1000000)</f>
        <v>0</v>
      </c>
      <c r="H238" s="35">
        <f t="shared" si="507"/>
        <v>0</v>
      </c>
      <c r="I238" s="35">
        <f t="shared" si="508"/>
        <v>0</v>
      </c>
      <c r="J238" s="36">
        <f t="shared" si="509"/>
        <v>0.3500353589645675</v>
      </c>
      <c r="K238" s="35">
        <f>VLOOKUP($B238,REPORTE!$B$3:$AS$200,20,FALSE)/1000000</f>
        <v>0</v>
      </c>
      <c r="L238" s="36" t="str">
        <f t="shared" si="510"/>
        <v/>
      </c>
      <c r="M238" s="60" t="e">
        <f t="shared" si="511"/>
        <v>#VALUE!</v>
      </c>
      <c r="N238" s="35">
        <f t="shared" si="512"/>
        <v>0</v>
      </c>
      <c r="O238" s="35">
        <f t="shared" si="513"/>
        <v>0</v>
      </c>
      <c r="P238" s="36">
        <f t="shared" si="514"/>
        <v>0.1620150267793902</v>
      </c>
      <c r="Q238" s="35">
        <f>VLOOKUP($B238,REPORTE!$B$3:$AS$200,22,FALSE)/1000000</f>
        <v>0</v>
      </c>
      <c r="R238" s="36" t="str">
        <f t="shared" si="515"/>
        <v/>
      </c>
      <c r="S238" s="60" t="e">
        <f t="shared" si="516"/>
        <v>#VALUE!</v>
      </c>
      <c r="T238" s="39">
        <f t="shared" si="517"/>
        <v>0</v>
      </c>
      <c r="U238" s="40">
        <f t="shared" si="518"/>
        <v>0.155</v>
      </c>
      <c r="V238" s="35">
        <f>VLOOKUP($B238,REPORTE!$B$3:$AS$200,23,FALSE)/1000000</f>
        <v>0</v>
      </c>
      <c r="W238" s="36" t="str">
        <f t="shared" si="519"/>
        <v/>
      </c>
      <c r="X238" s="145" t="e">
        <f t="shared" si="520"/>
        <v>#VALUE!</v>
      </c>
      <c r="Z238" s="35">
        <f>VLOOKUP($B238,REPORTE!$B$3:$AS$200,20,FALSE)/1000000</f>
        <v>0</v>
      </c>
      <c r="AA238" s="36" t="str">
        <f t="shared" si="521"/>
        <v/>
      </c>
      <c r="AB238" s="60" t="e">
        <f t="shared" si="522"/>
        <v>#VALUE!</v>
      </c>
      <c r="AC238" s="35">
        <f t="shared" si="540"/>
        <v>0</v>
      </c>
      <c r="AD238" s="35">
        <f>VLOOKUP($B238,REPORTE!$B$3:$AS$200,22,FALSE)/1000000</f>
        <v>0</v>
      </c>
      <c r="AE238" s="36" t="str">
        <f t="shared" si="523"/>
        <v/>
      </c>
      <c r="AF238" s="127" t="e">
        <f t="shared" si="524"/>
        <v>#VALUE!</v>
      </c>
    </row>
    <row r="239" spans="1:32" s="41" customFormat="1" ht="21.95" customHeight="1">
      <c r="A239" s="38" t="s">
        <v>45</v>
      </c>
      <c r="B239" s="34" t="s">
        <v>45</v>
      </c>
      <c r="C239" s="35">
        <f>VLOOKUP(B239,REPORTE!$B$3:$AS$200,14,FALSE)/1000000</f>
        <v>0</v>
      </c>
      <c r="D239" s="35">
        <f>VLOOKUP(B239,REPORTE!$B$3:$AS$200,15,FALSE)/1000000</f>
        <v>0</v>
      </c>
      <c r="E239" s="35">
        <f>VLOOKUP(B239,REPORTE!$B$3:$AS$200,16,FALSE)/1000000</f>
        <v>0</v>
      </c>
      <c r="F239" s="35">
        <f>VLOOKUP(B239,REPORTE!$B$3:$AS$200,17,FALSE)/1000000</f>
        <v>0</v>
      </c>
      <c r="G239" s="35">
        <f>(VLOOKUP(B239,REPORTE!$B$3:$AS$200,18,FALSE)/1000000)</f>
        <v>0</v>
      </c>
      <c r="H239" s="35">
        <f t="shared" si="507"/>
        <v>0</v>
      </c>
      <c r="I239" s="35">
        <f t="shared" si="508"/>
        <v>0</v>
      </c>
      <c r="J239" s="36">
        <f t="shared" si="509"/>
        <v>0.3500353589645675</v>
      </c>
      <c r="K239" s="35">
        <f>VLOOKUP($B239,REPORTE!$B$3:$AS$200,20,FALSE)/1000000</f>
        <v>0</v>
      </c>
      <c r="L239" s="36" t="str">
        <f t="shared" si="510"/>
        <v/>
      </c>
      <c r="M239" s="60" t="e">
        <f t="shared" si="511"/>
        <v>#VALUE!</v>
      </c>
      <c r="N239" s="35">
        <f t="shared" si="512"/>
        <v>0</v>
      </c>
      <c r="O239" s="35">
        <f t="shared" si="513"/>
        <v>0</v>
      </c>
      <c r="P239" s="36">
        <f t="shared" si="514"/>
        <v>0.1620150267793902</v>
      </c>
      <c r="Q239" s="35">
        <f>VLOOKUP($B239,REPORTE!$B$3:$AS$200,22,FALSE)/1000000</f>
        <v>0</v>
      </c>
      <c r="R239" s="36" t="str">
        <f t="shared" si="515"/>
        <v/>
      </c>
      <c r="S239" s="60" t="e">
        <f t="shared" si="516"/>
        <v>#VALUE!</v>
      </c>
      <c r="T239" s="39">
        <f t="shared" si="517"/>
        <v>0</v>
      </c>
      <c r="U239" s="40">
        <f t="shared" si="518"/>
        <v>0.155</v>
      </c>
      <c r="V239" s="35">
        <f>VLOOKUP($B239,REPORTE!$B$3:$AS$200,23,FALSE)/1000000</f>
        <v>0</v>
      </c>
      <c r="W239" s="36" t="str">
        <f t="shared" si="519"/>
        <v/>
      </c>
      <c r="X239" s="145" t="e">
        <f t="shared" si="520"/>
        <v>#VALUE!</v>
      </c>
      <c r="Z239" s="35">
        <f>VLOOKUP($B239,REPORTE!$B$3:$AS$200,20,FALSE)/1000000</f>
        <v>0</v>
      </c>
      <c r="AA239" s="36" t="str">
        <f t="shared" si="521"/>
        <v/>
      </c>
      <c r="AB239" s="60" t="e">
        <f t="shared" si="522"/>
        <v>#VALUE!</v>
      </c>
      <c r="AC239" s="35">
        <f t="shared" si="540"/>
        <v>0</v>
      </c>
      <c r="AD239" s="35">
        <f>VLOOKUP($B239,REPORTE!$B$3:$AS$200,22,FALSE)/1000000</f>
        <v>0</v>
      </c>
      <c r="AE239" s="36" t="str">
        <f t="shared" si="523"/>
        <v/>
      </c>
      <c r="AF239" s="127" t="e">
        <f t="shared" si="524"/>
        <v>#VALUE!</v>
      </c>
    </row>
    <row r="240" spans="1:32" s="41" customFormat="1" ht="21.95" customHeight="1">
      <c r="A240" s="38" t="s">
        <v>46</v>
      </c>
      <c r="B240" s="34" t="s">
        <v>46</v>
      </c>
      <c r="C240" s="35">
        <f>VLOOKUP(B240,REPORTE!$B$3:$AS$200,14,FALSE)/1000000</f>
        <v>0</v>
      </c>
      <c r="D240" s="35">
        <f>VLOOKUP(B240,REPORTE!$B$3:$AS$200,15,FALSE)/1000000</f>
        <v>0</v>
      </c>
      <c r="E240" s="35">
        <f>VLOOKUP(B240,REPORTE!$B$3:$AS$200,16,FALSE)/1000000</f>
        <v>0</v>
      </c>
      <c r="F240" s="35">
        <f>VLOOKUP(B240,REPORTE!$B$3:$AS$200,17,FALSE)/1000000</f>
        <v>0</v>
      </c>
      <c r="G240" s="35">
        <f>(VLOOKUP(B240,REPORTE!$B$3:$AS$200,18,FALSE)/1000000)</f>
        <v>0</v>
      </c>
      <c r="H240" s="35">
        <f t="shared" si="507"/>
        <v>0</v>
      </c>
      <c r="I240" s="35">
        <f t="shared" si="508"/>
        <v>0</v>
      </c>
      <c r="J240" s="36">
        <f t="shared" si="509"/>
        <v>0.3500353589645675</v>
      </c>
      <c r="K240" s="35">
        <f>VLOOKUP($B240,REPORTE!$B$3:$AS$200,20,FALSE)/1000000</f>
        <v>0</v>
      </c>
      <c r="L240" s="36" t="str">
        <f t="shared" si="510"/>
        <v/>
      </c>
      <c r="M240" s="60" t="e">
        <f t="shared" si="511"/>
        <v>#VALUE!</v>
      </c>
      <c r="N240" s="35">
        <f t="shared" si="512"/>
        <v>0</v>
      </c>
      <c r="O240" s="35">
        <f t="shared" si="513"/>
        <v>0</v>
      </c>
      <c r="P240" s="36">
        <f t="shared" si="514"/>
        <v>0.1620150267793902</v>
      </c>
      <c r="Q240" s="35">
        <f>VLOOKUP($B240,REPORTE!$B$3:$AS$200,22,FALSE)/1000000</f>
        <v>0</v>
      </c>
      <c r="R240" s="36" t="str">
        <f t="shared" si="515"/>
        <v/>
      </c>
      <c r="S240" s="60" t="e">
        <f t="shared" si="516"/>
        <v>#VALUE!</v>
      </c>
      <c r="T240" s="39">
        <f t="shared" si="517"/>
        <v>0</v>
      </c>
      <c r="U240" s="40">
        <f t="shared" si="518"/>
        <v>0.155</v>
      </c>
      <c r="V240" s="35">
        <f>VLOOKUP($B240,REPORTE!$B$3:$AS$200,23,FALSE)/1000000</f>
        <v>0</v>
      </c>
      <c r="W240" s="36" t="str">
        <f t="shared" si="519"/>
        <v/>
      </c>
      <c r="X240" s="145" t="e">
        <f t="shared" si="520"/>
        <v>#VALUE!</v>
      </c>
      <c r="Z240" s="35">
        <f>VLOOKUP($B240,REPORTE!$B$3:$AS$200,20,FALSE)/1000000</f>
        <v>0</v>
      </c>
      <c r="AA240" s="36" t="str">
        <f t="shared" si="521"/>
        <v/>
      </c>
      <c r="AB240" s="60" t="e">
        <f t="shared" si="522"/>
        <v>#VALUE!</v>
      </c>
      <c r="AC240" s="35">
        <f t="shared" si="540"/>
        <v>0</v>
      </c>
      <c r="AD240" s="35">
        <f>VLOOKUP($B240,REPORTE!$B$3:$AS$200,22,FALSE)/1000000</f>
        <v>0</v>
      </c>
      <c r="AE240" s="36" t="str">
        <f t="shared" si="523"/>
        <v/>
      </c>
      <c r="AF240" s="127" t="e">
        <f t="shared" si="524"/>
        <v>#VALUE!</v>
      </c>
    </row>
    <row r="241" spans="1:32" s="41" customFormat="1" ht="21.95" customHeight="1">
      <c r="A241" s="38" t="s">
        <v>47</v>
      </c>
      <c r="B241" s="34" t="s">
        <v>47</v>
      </c>
      <c r="C241" s="35">
        <f>VLOOKUP(B241,REPORTE!$B$3:$AS$200,14,FALSE)/1000000</f>
        <v>0</v>
      </c>
      <c r="D241" s="35">
        <f>VLOOKUP(B241,REPORTE!$B$3:$AS$200,15,FALSE)/1000000</f>
        <v>0</v>
      </c>
      <c r="E241" s="35">
        <f>VLOOKUP(B241,REPORTE!$B$3:$AS$200,16,FALSE)/1000000</f>
        <v>0</v>
      </c>
      <c r="F241" s="35">
        <f>VLOOKUP(B241,REPORTE!$B$3:$AS$200,17,FALSE)/1000000</f>
        <v>0</v>
      </c>
      <c r="G241" s="35">
        <f>(VLOOKUP(B241,REPORTE!$B$3:$AS$200,18,FALSE)/1000000)</f>
        <v>0</v>
      </c>
      <c r="H241" s="35">
        <f t="shared" si="507"/>
        <v>0</v>
      </c>
      <c r="I241" s="35">
        <f t="shared" si="508"/>
        <v>0</v>
      </c>
      <c r="J241" s="36">
        <f t="shared" si="509"/>
        <v>0.3500353589645675</v>
      </c>
      <c r="K241" s="35">
        <f>VLOOKUP($B241,REPORTE!$B$3:$AS$200,20,FALSE)/1000000</f>
        <v>0</v>
      </c>
      <c r="L241" s="36" t="str">
        <f t="shared" si="510"/>
        <v/>
      </c>
      <c r="M241" s="60" t="e">
        <f t="shared" si="511"/>
        <v>#VALUE!</v>
      </c>
      <c r="N241" s="35">
        <f t="shared" si="512"/>
        <v>0</v>
      </c>
      <c r="O241" s="35">
        <f t="shared" si="513"/>
        <v>0</v>
      </c>
      <c r="P241" s="36">
        <f t="shared" si="514"/>
        <v>0.1620150267793902</v>
      </c>
      <c r="Q241" s="35">
        <f>VLOOKUP($B241,REPORTE!$B$3:$AS$200,22,FALSE)/1000000</f>
        <v>0</v>
      </c>
      <c r="R241" s="36" t="str">
        <f t="shared" si="515"/>
        <v/>
      </c>
      <c r="S241" s="60" t="e">
        <f t="shared" si="516"/>
        <v>#VALUE!</v>
      </c>
      <c r="T241" s="39">
        <f t="shared" si="517"/>
        <v>0</v>
      </c>
      <c r="U241" s="40">
        <f t="shared" si="518"/>
        <v>0.155</v>
      </c>
      <c r="V241" s="35">
        <f>VLOOKUP($B241,REPORTE!$B$3:$AS$200,23,FALSE)/1000000</f>
        <v>0</v>
      </c>
      <c r="W241" s="36" t="str">
        <f t="shared" si="519"/>
        <v/>
      </c>
      <c r="X241" s="145" t="e">
        <f t="shared" si="520"/>
        <v>#VALUE!</v>
      </c>
      <c r="Z241" s="35">
        <f>VLOOKUP($B241,REPORTE!$B$3:$AS$200,20,FALSE)/1000000</f>
        <v>0</v>
      </c>
      <c r="AA241" s="36" t="str">
        <f t="shared" si="521"/>
        <v/>
      </c>
      <c r="AB241" s="60" t="e">
        <f t="shared" si="522"/>
        <v>#VALUE!</v>
      </c>
      <c r="AC241" s="35">
        <f t="shared" si="540"/>
        <v>0</v>
      </c>
      <c r="AD241" s="35">
        <f>VLOOKUP($B241,REPORTE!$B$3:$AS$200,22,FALSE)/1000000</f>
        <v>0</v>
      </c>
      <c r="AE241" s="36" t="str">
        <f t="shared" si="523"/>
        <v/>
      </c>
      <c r="AF241" s="127" t="e">
        <f t="shared" si="524"/>
        <v>#VALUE!</v>
      </c>
    </row>
    <row r="242" spans="1:32" s="41" customFormat="1" ht="21.95" customHeight="1">
      <c r="A242" s="38" t="s">
        <v>48</v>
      </c>
      <c r="B242" s="34" t="s">
        <v>48</v>
      </c>
      <c r="C242" s="35">
        <f>VLOOKUP(B242,REPORTE!$B$3:$AS$200,14,FALSE)/1000000</f>
        <v>0</v>
      </c>
      <c r="D242" s="35">
        <f>VLOOKUP(B242,REPORTE!$B$3:$AS$200,15,FALSE)/1000000</f>
        <v>0</v>
      </c>
      <c r="E242" s="35">
        <f>VLOOKUP(B242,REPORTE!$B$3:$AS$200,16,FALSE)/1000000</f>
        <v>0</v>
      </c>
      <c r="F242" s="35">
        <f>VLOOKUP(B242,REPORTE!$B$3:$AS$200,17,FALSE)/1000000</f>
        <v>0</v>
      </c>
      <c r="G242" s="35">
        <f>(VLOOKUP(B242,REPORTE!$B$3:$AS$200,18,FALSE)/1000000)</f>
        <v>0</v>
      </c>
      <c r="H242" s="35">
        <f t="shared" si="507"/>
        <v>0</v>
      </c>
      <c r="I242" s="35">
        <f t="shared" si="508"/>
        <v>0</v>
      </c>
      <c r="J242" s="36">
        <f t="shared" si="509"/>
        <v>0.3500353589645675</v>
      </c>
      <c r="K242" s="35">
        <f>VLOOKUP($B242,REPORTE!$B$3:$AS$200,20,FALSE)/1000000</f>
        <v>0</v>
      </c>
      <c r="L242" s="36" t="str">
        <f t="shared" si="510"/>
        <v/>
      </c>
      <c r="M242" s="60" t="e">
        <f t="shared" si="511"/>
        <v>#VALUE!</v>
      </c>
      <c r="N242" s="35">
        <f t="shared" si="512"/>
        <v>0</v>
      </c>
      <c r="O242" s="35">
        <f t="shared" si="513"/>
        <v>0</v>
      </c>
      <c r="P242" s="36">
        <f t="shared" si="514"/>
        <v>0.1620150267793902</v>
      </c>
      <c r="Q242" s="35">
        <f>VLOOKUP($B242,REPORTE!$B$3:$AS$200,22,FALSE)/1000000</f>
        <v>0</v>
      </c>
      <c r="R242" s="36" t="str">
        <f t="shared" si="515"/>
        <v/>
      </c>
      <c r="S242" s="60" t="e">
        <f t="shared" si="516"/>
        <v>#VALUE!</v>
      </c>
      <c r="T242" s="39">
        <f t="shared" si="517"/>
        <v>0</v>
      </c>
      <c r="U242" s="40">
        <f t="shared" si="518"/>
        <v>0.155</v>
      </c>
      <c r="V242" s="35">
        <f>VLOOKUP($B242,REPORTE!$B$3:$AS$200,23,FALSE)/1000000</f>
        <v>0</v>
      </c>
      <c r="W242" s="36" t="str">
        <f t="shared" si="519"/>
        <v/>
      </c>
      <c r="X242" s="145" t="e">
        <f t="shared" si="520"/>
        <v>#VALUE!</v>
      </c>
      <c r="Z242" s="35">
        <f>VLOOKUP($B242,REPORTE!$B$3:$AS$200,20,FALSE)/1000000</f>
        <v>0</v>
      </c>
      <c r="AA242" s="36" t="str">
        <f t="shared" si="521"/>
        <v/>
      </c>
      <c r="AB242" s="60" t="e">
        <f t="shared" si="522"/>
        <v>#VALUE!</v>
      </c>
      <c r="AC242" s="35">
        <f t="shared" si="540"/>
        <v>0</v>
      </c>
      <c r="AD242" s="35">
        <f>VLOOKUP($B242,REPORTE!$B$3:$AS$200,22,FALSE)/1000000</f>
        <v>0</v>
      </c>
      <c r="AE242" s="36" t="str">
        <f t="shared" si="523"/>
        <v/>
      </c>
      <c r="AF242" s="127" t="e">
        <f t="shared" si="524"/>
        <v>#VALUE!</v>
      </c>
    </row>
    <row r="243" spans="1:32" s="41" customFormat="1" ht="21.95" customHeight="1">
      <c r="A243" s="38" t="s">
        <v>49</v>
      </c>
      <c r="B243" s="34" t="s">
        <v>49</v>
      </c>
      <c r="C243" s="35">
        <f>VLOOKUP(B243,REPORTE!$B$3:$AS$200,14,FALSE)/1000000</f>
        <v>0</v>
      </c>
      <c r="D243" s="35">
        <f>VLOOKUP(B243,REPORTE!$B$3:$AS$200,15,FALSE)/1000000</f>
        <v>0</v>
      </c>
      <c r="E243" s="35">
        <f>VLOOKUP(B243,REPORTE!$B$3:$AS$200,16,FALSE)/1000000</f>
        <v>0</v>
      </c>
      <c r="F243" s="35">
        <f>VLOOKUP(B243,REPORTE!$B$3:$AS$200,17,FALSE)/1000000</f>
        <v>0</v>
      </c>
      <c r="G243" s="35">
        <f>(VLOOKUP(B243,REPORTE!$B$3:$AS$200,18,FALSE)/1000000)</f>
        <v>0</v>
      </c>
      <c r="H243" s="35">
        <f t="shared" si="507"/>
        <v>0</v>
      </c>
      <c r="I243" s="35">
        <f t="shared" si="508"/>
        <v>0</v>
      </c>
      <c r="J243" s="36">
        <f t="shared" si="509"/>
        <v>0.3500353589645675</v>
      </c>
      <c r="K243" s="35">
        <f>VLOOKUP($B243,REPORTE!$B$3:$AS$200,20,FALSE)/1000000</f>
        <v>0</v>
      </c>
      <c r="L243" s="36" t="str">
        <f t="shared" si="510"/>
        <v/>
      </c>
      <c r="M243" s="60" t="e">
        <f t="shared" si="511"/>
        <v>#VALUE!</v>
      </c>
      <c r="N243" s="35">
        <f t="shared" si="512"/>
        <v>0</v>
      </c>
      <c r="O243" s="35">
        <f t="shared" si="513"/>
        <v>0</v>
      </c>
      <c r="P243" s="36">
        <f t="shared" si="514"/>
        <v>0.1620150267793902</v>
      </c>
      <c r="Q243" s="35">
        <f>VLOOKUP($B243,REPORTE!$B$3:$AS$200,22,FALSE)/1000000</f>
        <v>0</v>
      </c>
      <c r="R243" s="36" t="str">
        <f t="shared" si="515"/>
        <v/>
      </c>
      <c r="S243" s="60" t="e">
        <f t="shared" si="516"/>
        <v>#VALUE!</v>
      </c>
      <c r="T243" s="39">
        <f t="shared" si="517"/>
        <v>0</v>
      </c>
      <c r="U243" s="40">
        <f t="shared" si="518"/>
        <v>0.155</v>
      </c>
      <c r="V243" s="35">
        <f>VLOOKUP($B243,REPORTE!$B$3:$AS$200,23,FALSE)/1000000</f>
        <v>0</v>
      </c>
      <c r="W243" s="36" t="str">
        <f t="shared" si="519"/>
        <v/>
      </c>
      <c r="X243" s="145" t="e">
        <f t="shared" si="520"/>
        <v>#VALUE!</v>
      </c>
      <c r="Z243" s="35">
        <f>VLOOKUP($B243,REPORTE!$B$3:$AS$200,20,FALSE)/1000000</f>
        <v>0</v>
      </c>
      <c r="AA243" s="36" t="str">
        <f t="shared" si="521"/>
        <v/>
      </c>
      <c r="AB243" s="60" t="e">
        <f t="shared" si="522"/>
        <v>#VALUE!</v>
      </c>
      <c r="AC243" s="35">
        <f t="shared" si="540"/>
        <v>0</v>
      </c>
      <c r="AD243" s="35">
        <f>VLOOKUP($B243,REPORTE!$B$3:$AS$200,22,FALSE)/1000000</f>
        <v>0</v>
      </c>
      <c r="AE243" s="36" t="str">
        <f t="shared" si="523"/>
        <v/>
      </c>
      <c r="AF243" s="127" t="e">
        <f t="shared" si="524"/>
        <v>#VALUE!</v>
      </c>
    </row>
    <row r="244" spans="1:32" s="41" customFormat="1" ht="21.95" customHeight="1">
      <c r="A244" s="38" t="s">
        <v>50</v>
      </c>
      <c r="B244" s="34" t="s">
        <v>50</v>
      </c>
      <c r="C244" s="35">
        <f>VLOOKUP(B244,REPORTE!$B$3:$AS$200,14,FALSE)/1000000</f>
        <v>0</v>
      </c>
      <c r="D244" s="35">
        <f>VLOOKUP(B244,REPORTE!$B$3:$AS$200,15,FALSE)/1000000</f>
        <v>0</v>
      </c>
      <c r="E244" s="35">
        <f>VLOOKUP(B244,REPORTE!$B$3:$AS$200,16,FALSE)/1000000</f>
        <v>0</v>
      </c>
      <c r="F244" s="35">
        <f>VLOOKUP(B244,REPORTE!$B$3:$AS$200,17,FALSE)/1000000</f>
        <v>0</v>
      </c>
      <c r="G244" s="35">
        <f>(VLOOKUP(B244,REPORTE!$B$3:$AS$200,18,FALSE)/1000000)</f>
        <v>0</v>
      </c>
      <c r="H244" s="35">
        <f t="shared" si="507"/>
        <v>0</v>
      </c>
      <c r="I244" s="35">
        <f t="shared" si="508"/>
        <v>0</v>
      </c>
      <c r="J244" s="36">
        <f t="shared" si="509"/>
        <v>0.3500353589645675</v>
      </c>
      <c r="K244" s="35">
        <f>VLOOKUP($B244,REPORTE!$B$3:$AS$200,20,FALSE)/1000000</f>
        <v>0</v>
      </c>
      <c r="L244" s="36" t="str">
        <f t="shared" si="510"/>
        <v/>
      </c>
      <c r="M244" s="60" t="e">
        <f t="shared" si="511"/>
        <v>#VALUE!</v>
      </c>
      <c r="N244" s="35">
        <f t="shared" si="512"/>
        <v>0</v>
      </c>
      <c r="O244" s="35">
        <f t="shared" si="513"/>
        <v>0</v>
      </c>
      <c r="P244" s="36">
        <f t="shared" si="514"/>
        <v>0.1620150267793902</v>
      </c>
      <c r="Q244" s="35">
        <f>VLOOKUP($B244,REPORTE!$B$3:$AS$200,22,FALSE)/1000000</f>
        <v>0</v>
      </c>
      <c r="R244" s="36" t="str">
        <f t="shared" si="515"/>
        <v/>
      </c>
      <c r="S244" s="60" t="e">
        <f t="shared" si="516"/>
        <v>#VALUE!</v>
      </c>
      <c r="T244" s="39">
        <f t="shared" si="517"/>
        <v>0</v>
      </c>
      <c r="U244" s="40">
        <f t="shared" si="518"/>
        <v>0.155</v>
      </c>
      <c r="V244" s="35">
        <f>VLOOKUP($B244,REPORTE!$B$3:$AS$200,23,FALSE)/1000000</f>
        <v>0</v>
      </c>
      <c r="W244" s="36" t="str">
        <f t="shared" si="519"/>
        <v/>
      </c>
      <c r="X244" s="145" t="e">
        <f t="shared" si="520"/>
        <v>#VALUE!</v>
      </c>
      <c r="Z244" s="35">
        <f>VLOOKUP($B244,REPORTE!$B$3:$AS$200,20,FALSE)/1000000</f>
        <v>0</v>
      </c>
      <c r="AA244" s="36" t="str">
        <f t="shared" si="521"/>
        <v/>
      </c>
      <c r="AB244" s="60" t="e">
        <f t="shared" si="522"/>
        <v>#VALUE!</v>
      </c>
      <c r="AC244" s="35">
        <f t="shared" si="540"/>
        <v>0</v>
      </c>
      <c r="AD244" s="35">
        <f>VLOOKUP($B244,REPORTE!$B$3:$AS$200,22,FALSE)/1000000</f>
        <v>0</v>
      </c>
      <c r="AE244" s="36" t="str">
        <f t="shared" si="523"/>
        <v/>
      </c>
      <c r="AF244" s="127" t="e">
        <f t="shared" si="524"/>
        <v>#VALUE!</v>
      </c>
    </row>
    <row r="245" spans="1:32" s="41" customFormat="1" ht="21.95" customHeight="1">
      <c r="A245" s="38" t="s">
        <v>51</v>
      </c>
      <c r="B245" s="34" t="s">
        <v>51</v>
      </c>
      <c r="C245" s="35">
        <f>VLOOKUP(B245,REPORTE!$B$3:$AS$200,14,FALSE)/1000000</f>
        <v>0</v>
      </c>
      <c r="D245" s="35">
        <f>VLOOKUP(B245,REPORTE!$B$3:$AS$200,15,FALSE)/1000000</f>
        <v>0</v>
      </c>
      <c r="E245" s="35">
        <f>VLOOKUP(B245,REPORTE!$B$3:$AS$200,16,FALSE)/1000000</f>
        <v>0</v>
      </c>
      <c r="F245" s="35">
        <f>VLOOKUP(B245,REPORTE!$B$3:$AS$200,17,FALSE)/1000000</f>
        <v>0</v>
      </c>
      <c r="G245" s="35">
        <f>(VLOOKUP(B245,REPORTE!$B$3:$AS$200,18,FALSE)/1000000)</f>
        <v>0</v>
      </c>
      <c r="H245" s="35">
        <f t="shared" si="507"/>
        <v>0</v>
      </c>
      <c r="I245" s="35">
        <f t="shared" si="508"/>
        <v>0</v>
      </c>
      <c r="J245" s="36">
        <f t="shared" si="509"/>
        <v>0.3500353589645675</v>
      </c>
      <c r="K245" s="35">
        <f>VLOOKUP($B245,REPORTE!$B$3:$AS$200,20,FALSE)/1000000</f>
        <v>0</v>
      </c>
      <c r="L245" s="36" t="str">
        <f t="shared" si="510"/>
        <v/>
      </c>
      <c r="M245" s="60" t="e">
        <f t="shared" si="511"/>
        <v>#VALUE!</v>
      </c>
      <c r="N245" s="35">
        <f t="shared" si="512"/>
        <v>0</v>
      </c>
      <c r="O245" s="35">
        <f t="shared" si="513"/>
        <v>0</v>
      </c>
      <c r="P245" s="36">
        <f t="shared" si="514"/>
        <v>0.1620150267793902</v>
      </c>
      <c r="Q245" s="35">
        <f>VLOOKUP($B245,REPORTE!$B$3:$AS$200,22,FALSE)/1000000</f>
        <v>0</v>
      </c>
      <c r="R245" s="36" t="str">
        <f t="shared" si="515"/>
        <v/>
      </c>
      <c r="S245" s="60" t="e">
        <f t="shared" si="516"/>
        <v>#VALUE!</v>
      </c>
      <c r="T245" s="39">
        <f t="shared" si="517"/>
        <v>0</v>
      </c>
      <c r="U245" s="40">
        <f t="shared" si="518"/>
        <v>0.155</v>
      </c>
      <c r="V245" s="35">
        <f>VLOOKUP($B245,REPORTE!$B$3:$AS$200,23,FALSE)/1000000</f>
        <v>0</v>
      </c>
      <c r="W245" s="36" t="str">
        <f t="shared" si="519"/>
        <v/>
      </c>
      <c r="X245" s="145" t="e">
        <f t="shared" si="520"/>
        <v>#VALUE!</v>
      </c>
      <c r="Z245" s="35">
        <f>VLOOKUP($B245,REPORTE!$B$3:$AS$200,20,FALSE)/1000000</f>
        <v>0</v>
      </c>
      <c r="AA245" s="36" t="str">
        <f t="shared" si="521"/>
        <v/>
      </c>
      <c r="AB245" s="60" t="e">
        <f t="shared" si="522"/>
        <v>#VALUE!</v>
      </c>
      <c r="AC245" s="35">
        <f t="shared" si="540"/>
        <v>0</v>
      </c>
      <c r="AD245" s="35">
        <f>VLOOKUP($B245,REPORTE!$B$3:$AS$200,22,FALSE)/1000000</f>
        <v>0</v>
      </c>
      <c r="AE245" s="36" t="str">
        <f t="shared" si="523"/>
        <v/>
      </c>
      <c r="AF245" s="127" t="e">
        <f t="shared" si="524"/>
        <v>#VALUE!</v>
      </c>
    </row>
    <row r="246" spans="1:32" s="41" customFormat="1" ht="21.95" customHeight="1">
      <c r="A246" s="38" t="s">
        <v>52</v>
      </c>
      <c r="B246" s="34" t="s">
        <v>52</v>
      </c>
      <c r="C246" s="35">
        <f>VLOOKUP(B246,REPORTE!$B$3:$AS$200,14,FALSE)/1000000</f>
        <v>0</v>
      </c>
      <c r="D246" s="35">
        <f>VLOOKUP(B246,REPORTE!$B$3:$AS$200,15,FALSE)/1000000</f>
        <v>0</v>
      </c>
      <c r="E246" s="35">
        <f>VLOOKUP(B246,REPORTE!$B$3:$AS$200,16,FALSE)/1000000</f>
        <v>0</v>
      </c>
      <c r="F246" s="35">
        <f>VLOOKUP(B246,REPORTE!$B$3:$AS$200,17,FALSE)/1000000</f>
        <v>0</v>
      </c>
      <c r="G246" s="35">
        <f>(VLOOKUP(B246,REPORTE!$B$3:$AS$200,18,FALSE)/1000000)</f>
        <v>0</v>
      </c>
      <c r="H246" s="35">
        <f t="shared" si="507"/>
        <v>0</v>
      </c>
      <c r="I246" s="35">
        <f t="shared" si="508"/>
        <v>0</v>
      </c>
      <c r="J246" s="36">
        <f t="shared" si="509"/>
        <v>0.3500353589645675</v>
      </c>
      <c r="K246" s="35">
        <f>VLOOKUP($B246,REPORTE!$B$3:$AS$200,20,FALSE)/1000000</f>
        <v>0</v>
      </c>
      <c r="L246" s="36" t="str">
        <f t="shared" si="510"/>
        <v/>
      </c>
      <c r="M246" s="60" t="e">
        <f t="shared" si="511"/>
        <v>#VALUE!</v>
      </c>
      <c r="N246" s="35">
        <f t="shared" si="512"/>
        <v>0</v>
      </c>
      <c r="O246" s="35">
        <f t="shared" si="513"/>
        <v>0</v>
      </c>
      <c r="P246" s="36">
        <f t="shared" si="514"/>
        <v>0.1620150267793902</v>
      </c>
      <c r="Q246" s="35">
        <f>VLOOKUP($B246,REPORTE!$B$3:$AS$200,22,FALSE)/1000000</f>
        <v>0</v>
      </c>
      <c r="R246" s="36" t="str">
        <f t="shared" si="515"/>
        <v/>
      </c>
      <c r="S246" s="60" t="e">
        <f t="shared" si="516"/>
        <v>#VALUE!</v>
      </c>
      <c r="T246" s="39">
        <f t="shared" si="517"/>
        <v>0</v>
      </c>
      <c r="U246" s="40">
        <f t="shared" si="518"/>
        <v>0.155</v>
      </c>
      <c r="V246" s="35">
        <f>VLOOKUP($B246,REPORTE!$B$3:$AS$200,23,FALSE)/1000000</f>
        <v>0</v>
      </c>
      <c r="W246" s="36" t="str">
        <f t="shared" si="519"/>
        <v/>
      </c>
      <c r="X246" s="145" t="e">
        <f t="shared" si="520"/>
        <v>#VALUE!</v>
      </c>
      <c r="Z246" s="35">
        <f>VLOOKUP($B246,REPORTE!$B$3:$AS$200,20,FALSE)/1000000</f>
        <v>0</v>
      </c>
      <c r="AA246" s="36" t="str">
        <f t="shared" si="521"/>
        <v/>
      </c>
      <c r="AB246" s="60" t="e">
        <f t="shared" si="522"/>
        <v>#VALUE!</v>
      </c>
      <c r="AC246" s="35">
        <f t="shared" si="540"/>
        <v>0</v>
      </c>
      <c r="AD246" s="35">
        <f>VLOOKUP($B246,REPORTE!$B$3:$AS$200,22,FALSE)/1000000</f>
        <v>0</v>
      </c>
      <c r="AE246" s="36" t="str">
        <f t="shared" si="523"/>
        <v/>
      </c>
      <c r="AF246" s="127" t="e">
        <f t="shared" si="524"/>
        <v>#VALUE!</v>
      </c>
    </row>
    <row r="247" spans="1:32" s="41" customFormat="1" ht="21.95" customHeight="1">
      <c r="A247" s="38" t="s">
        <v>25</v>
      </c>
      <c r="B247" s="34" t="s">
        <v>25</v>
      </c>
      <c r="C247" s="35">
        <f>VLOOKUP(B247,REPORTE!$B$3:$AS$200,14,FALSE)/1000000</f>
        <v>0</v>
      </c>
      <c r="D247" s="35">
        <f>VLOOKUP(B247,REPORTE!$B$3:$AS$200,15,FALSE)/1000000</f>
        <v>0</v>
      </c>
      <c r="E247" s="35">
        <f>VLOOKUP(B247,REPORTE!$B$3:$AS$200,16,FALSE)/1000000</f>
        <v>0</v>
      </c>
      <c r="F247" s="35">
        <f>VLOOKUP(B247,REPORTE!$B$3:$AS$200,17,FALSE)/1000000</f>
        <v>0</v>
      </c>
      <c r="G247" s="35">
        <f>(VLOOKUP(B247,REPORTE!$B$3:$AS$200,18,FALSE)/1000000)</f>
        <v>0</v>
      </c>
      <c r="H247" s="35">
        <f t="shared" si="507"/>
        <v>0</v>
      </c>
      <c r="I247" s="35">
        <f t="shared" si="508"/>
        <v>0</v>
      </c>
      <c r="J247" s="36">
        <f t="shared" si="509"/>
        <v>0.3500353589645675</v>
      </c>
      <c r="K247" s="35">
        <f>VLOOKUP($B247,REPORTE!$B$3:$AS$200,20,FALSE)/1000000</f>
        <v>0</v>
      </c>
      <c r="L247" s="36" t="str">
        <f t="shared" si="510"/>
        <v/>
      </c>
      <c r="M247" s="60" t="e">
        <f t="shared" si="511"/>
        <v>#VALUE!</v>
      </c>
      <c r="N247" s="35">
        <f t="shared" si="512"/>
        <v>0</v>
      </c>
      <c r="O247" s="35">
        <f t="shared" si="513"/>
        <v>0</v>
      </c>
      <c r="P247" s="36">
        <f t="shared" si="514"/>
        <v>0.1620150267793902</v>
      </c>
      <c r="Q247" s="35">
        <f>VLOOKUP($B247,REPORTE!$B$3:$AS$200,22,FALSE)/1000000</f>
        <v>0</v>
      </c>
      <c r="R247" s="36" t="str">
        <f t="shared" si="515"/>
        <v/>
      </c>
      <c r="S247" s="60" t="e">
        <f t="shared" si="516"/>
        <v>#VALUE!</v>
      </c>
      <c r="T247" s="39">
        <f t="shared" si="517"/>
        <v>0</v>
      </c>
      <c r="U247" s="40">
        <f t="shared" si="518"/>
        <v>0.155</v>
      </c>
      <c r="V247" s="35">
        <f>VLOOKUP($B247,REPORTE!$B$3:$AS$200,23,FALSE)/1000000</f>
        <v>0</v>
      </c>
      <c r="W247" s="36" t="str">
        <f t="shared" si="519"/>
        <v/>
      </c>
      <c r="X247" s="145" t="e">
        <f t="shared" si="520"/>
        <v>#VALUE!</v>
      </c>
      <c r="Z247" s="35">
        <f>VLOOKUP($B247,REPORTE!$B$3:$AS$200,20,FALSE)/1000000</f>
        <v>0</v>
      </c>
      <c r="AA247" s="36" t="str">
        <f t="shared" si="521"/>
        <v/>
      </c>
      <c r="AB247" s="60" t="e">
        <f t="shared" si="522"/>
        <v>#VALUE!</v>
      </c>
      <c r="AC247" s="35">
        <f t="shared" si="540"/>
        <v>0</v>
      </c>
      <c r="AD247" s="35">
        <f>VLOOKUP($B247,REPORTE!$B$3:$AS$200,22,FALSE)/1000000</f>
        <v>0</v>
      </c>
      <c r="AE247" s="36" t="str">
        <f t="shared" si="523"/>
        <v/>
      </c>
      <c r="AF247" s="127" t="e">
        <f t="shared" si="524"/>
        <v>#VALUE!</v>
      </c>
    </row>
    <row r="248" spans="1:32" s="41" customFormat="1" ht="21.95" customHeight="1">
      <c r="A248" s="38" t="s">
        <v>26</v>
      </c>
      <c r="B248" s="34" t="s">
        <v>26</v>
      </c>
      <c r="C248" s="35">
        <f>VLOOKUP(B248,REPORTE!$B$3:$AS$200,14,FALSE)/1000000</f>
        <v>0</v>
      </c>
      <c r="D248" s="35">
        <f>VLOOKUP(B248,REPORTE!$B$3:$AS$200,15,FALSE)/1000000</f>
        <v>0</v>
      </c>
      <c r="E248" s="35">
        <f>VLOOKUP(B248,REPORTE!$B$3:$AS$200,16,FALSE)/1000000</f>
        <v>0</v>
      </c>
      <c r="F248" s="35">
        <f>VLOOKUP(B248,REPORTE!$B$3:$AS$200,17,FALSE)/1000000</f>
        <v>0</v>
      </c>
      <c r="G248" s="35">
        <f>(VLOOKUP(B248,REPORTE!$B$3:$AS$200,18,FALSE)/1000000)</f>
        <v>0</v>
      </c>
      <c r="H248" s="35">
        <f t="shared" si="507"/>
        <v>0</v>
      </c>
      <c r="I248" s="35">
        <f t="shared" si="508"/>
        <v>0</v>
      </c>
      <c r="J248" s="36">
        <f t="shared" si="509"/>
        <v>0.3500353589645675</v>
      </c>
      <c r="K248" s="35">
        <f>VLOOKUP($B248,REPORTE!$B$3:$AS$200,20,FALSE)/1000000</f>
        <v>0</v>
      </c>
      <c r="L248" s="36" t="str">
        <f t="shared" si="510"/>
        <v/>
      </c>
      <c r="M248" s="60" t="e">
        <f t="shared" si="511"/>
        <v>#VALUE!</v>
      </c>
      <c r="N248" s="35">
        <f t="shared" si="512"/>
        <v>0</v>
      </c>
      <c r="O248" s="35">
        <f t="shared" si="513"/>
        <v>0</v>
      </c>
      <c r="P248" s="36">
        <f t="shared" si="514"/>
        <v>0.1620150267793902</v>
      </c>
      <c r="Q248" s="35">
        <f>VLOOKUP($B248,REPORTE!$B$3:$AS$200,22,FALSE)/1000000</f>
        <v>0</v>
      </c>
      <c r="R248" s="36" t="str">
        <f t="shared" si="515"/>
        <v/>
      </c>
      <c r="S248" s="60" t="e">
        <f t="shared" si="516"/>
        <v>#VALUE!</v>
      </c>
      <c r="T248" s="39">
        <f t="shared" si="517"/>
        <v>0</v>
      </c>
      <c r="U248" s="40">
        <f t="shared" si="518"/>
        <v>0.155</v>
      </c>
      <c r="V248" s="35">
        <f>VLOOKUP($B248,REPORTE!$B$3:$AS$200,23,FALSE)/1000000</f>
        <v>0</v>
      </c>
      <c r="W248" s="36" t="str">
        <f t="shared" si="519"/>
        <v/>
      </c>
      <c r="X248" s="145" t="e">
        <f t="shared" si="520"/>
        <v>#VALUE!</v>
      </c>
      <c r="Z248" s="35">
        <f>VLOOKUP($B248,REPORTE!$B$3:$AS$200,20,FALSE)/1000000</f>
        <v>0</v>
      </c>
      <c r="AA248" s="36" t="str">
        <f t="shared" si="521"/>
        <v/>
      </c>
      <c r="AB248" s="60" t="e">
        <f t="shared" si="522"/>
        <v>#VALUE!</v>
      </c>
      <c r="AC248" s="35">
        <f t="shared" si="540"/>
        <v>0</v>
      </c>
      <c r="AD248" s="35">
        <f>VLOOKUP($B248,REPORTE!$B$3:$AS$200,22,FALSE)/1000000</f>
        <v>0</v>
      </c>
      <c r="AE248" s="36" t="str">
        <f t="shared" si="523"/>
        <v/>
      </c>
      <c r="AF248" s="127" t="e">
        <f t="shared" si="524"/>
        <v>#VALUE!</v>
      </c>
    </row>
    <row r="249" spans="1:32" s="41" customFormat="1" ht="21.95" customHeight="1">
      <c r="A249" s="38" t="s">
        <v>31</v>
      </c>
      <c r="B249" s="34" t="s">
        <v>31</v>
      </c>
      <c r="C249" s="35">
        <f>VLOOKUP(B249,REPORTE!$B$3:$AS$200,14,FALSE)/1000000</f>
        <v>0</v>
      </c>
      <c r="D249" s="35">
        <f>VLOOKUP(B249,REPORTE!$B$3:$AS$200,15,FALSE)/1000000</f>
        <v>0</v>
      </c>
      <c r="E249" s="35">
        <f>VLOOKUP(B249,REPORTE!$B$3:$AS$200,16,FALSE)/1000000</f>
        <v>0</v>
      </c>
      <c r="F249" s="35">
        <f>VLOOKUP(B249,REPORTE!$B$3:$AS$200,17,FALSE)/1000000</f>
        <v>0</v>
      </c>
      <c r="G249" s="35">
        <f>(VLOOKUP(B249,REPORTE!$B$3:$AS$200,18,FALSE)/1000000)</f>
        <v>0</v>
      </c>
      <c r="H249" s="35">
        <f t="shared" si="507"/>
        <v>0</v>
      </c>
      <c r="I249" s="35">
        <f t="shared" si="508"/>
        <v>0</v>
      </c>
      <c r="J249" s="36">
        <f t="shared" si="509"/>
        <v>0.3500353589645675</v>
      </c>
      <c r="K249" s="35">
        <f>VLOOKUP($B249,REPORTE!$B$3:$AS$200,20,FALSE)/1000000</f>
        <v>0</v>
      </c>
      <c r="L249" s="36" t="str">
        <f t="shared" si="510"/>
        <v/>
      </c>
      <c r="M249" s="60" t="e">
        <f t="shared" si="511"/>
        <v>#VALUE!</v>
      </c>
      <c r="N249" s="35">
        <f t="shared" si="512"/>
        <v>0</v>
      </c>
      <c r="O249" s="35">
        <f t="shared" si="513"/>
        <v>0</v>
      </c>
      <c r="P249" s="36">
        <f t="shared" si="514"/>
        <v>0.1620150267793902</v>
      </c>
      <c r="Q249" s="35">
        <f>VLOOKUP($B249,REPORTE!$B$3:$AS$200,22,FALSE)/1000000</f>
        <v>0</v>
      </c>
      <c r="R249" s="36" t="str">
        <f t="shared" si="515"/>
        <v/>
      </c>
      <c r="S249" s="60" t="e">
        <f t="shared" si="516"/>
        <v>#VALUE!</v>
      </c>
      <c r="T249" s="39">
        <f t="shared" si="517"/>
        <v>0</v>
      </c>
      <c r="U249" s="40">
        <f t="shared" si="518"/>
        <v>0.155</v>
      </c>
      <c r="V249" s="35">
        <f>VLOOKUP($B249,REPORTE!$B$3:$AS$200,23,FALSE)/1000000</f>
        <v>0</v>
      </c>
      <c r="W249" s="36" t="str">
        <f t="shared" si="519"/>
        <v/>
      </c>
      <c r="X249" s="145" t="e">
        <f t="shared" si="520"/>
        <v>#VALUE!</v>
      </c>
      <c r="Z249" s="35">
        <f>VLOOKUP($B249,REPORTE!$B$3:$AS$200,20,FALSE)/1000000</f>
        <v>0</v>
      </c>
      <c r="AA249" s="36" t="str">
        <f t="shared" si="521"/>
        <v/>
      </c>
      <c r="AB249" s="60" t="e">
        <f t="shared" si="522"/>
        <v>#VALUE!</v>
      </c>
      <c r="AC249" s="35">
        <f t="shared" si="540"/>
        <v>0</v>
      </c>
      <c r="AD249" s="35">
        <f>VLOOKUP($B249,REPORTE!$B$3:$AS$200,22,FALSE)/1000000</f>
        <v>0</v>
      </c>
      <c r="AE249" s="36" t="str">
        <f t="shared" si="523"/>
        <v/>
      </c>
      <c r="AF249" s="127" t="e">
        <f t="shared" si="524"/>
        <v>#VALUE!</v>
      </c>
    </row>
    <row r="250" spans="1:32" s="41" customFormat="1" ht="21.95" customHeight="1">
      <c r="A250" s="38" t="s">
        <v>281</v>
      </c>
      <c r="B250" s="43" t="s">
        <v>219</v>
      </c>
      <c r="C250" s="35">
        <f>VLOOKUP(B250,REPORTE!$B$3:$AS$200,14,FALSE)/1000000</f>
        <v>0</v>
      </c>
      <c r="D250" s="35">
        <f>VLOOKUP(B250,REPORTE!$B$3:$AS$200,15,FALSE)/1000000</f>
        <v>0</v>
      </c>
      <c r="E250" s="35">
        <f>VLOOKUP(B250,REPORTE!$B$3:$AS$200,16,FALSE)/1000000</f>
        <v>0</v>
      </c>
      <c r="F250" s="35">
        <f>VLOOKUP(B250,REPORTE!$B$3:$AS$200,17,FALSE)/1000000</f>
        <v>0</v>
      </c>
      <c r="G250" s="35">
        <f>(VLOOKUP(B250,REPORTE!$B$3:$AS$200,18,FALSE)/1000000)</f>
        <v>0</v>
      </c>
      <c r="H250" s="35">
        <f t="shared" si="507"/>
        <v>0</v>
      </c>
      <c r="I250" s="35">
        <f t="shared" si="508"/>
        <v>0</v>
      </c>
      <c r="J250" s="36">
        <f t="shared" si="509"/>
        <v>0.3500353589645675</v>
      </c>
      <c r="K250" s="35">
        <f>VLOOKUP($B250,REPORTE!$B$3:$AS$200,20,FALSE)/1000000</f>
        <v>0</v>
      </c>
      <c r="L250" s="36" t="str">
        <f t="shared" si="510"/>
        <v/>
      </c>
      <c r="M250" s="60" t="e">
        <f t="shared" si="511"/>
        <v>#VALUE!</v>
      </c>
      <c r="N250" s="35">
        <f t="shared" si="512"/>
        <v>0</v>
      </c>
      <c r="O250" s="35">
        <f t="shared" si="513"/>
        <v>0</v>
      </c>
      <c r="P250" s="36">
        <f t="shared" si="514"/>
        <v>0.1620150267793902</v>
      </c>
      <c r="Q250" s="35">
        <f>VLOOKUP($B250,REPORTE!$B$3:$AS$200,22,FALSE)/1000000</f>
        <v>0</v>
      </c>
      <c r="R250" s="36" t="str">
        <f t="shared" si="515"/>
        <v/>
      </c>
      <c r="S250" s="60" t="e">
        <f t="shared" si="516"/>
        <v>#VALUE!</v>
      </c>
      <c r="T250" s="39">
        <f t="shared" si="517"/>
        <v>0</v>
      </c>
      <c r="U250" s="40">
        <f t="shared" si="518"/>
        <v>0.155</v>
      </c>
      <c r="V250" s="35">
        <f>VLOOKUP($B250,REPORTE!$B$3:$AS$200,23,FALSE)/1000000</f>
        <v>0</v>
      </c>
      <c r="W250" s="36" t="str">
        <f t="shared" si="519"/>
        <v/>
      </c>
      <c r="X250" s="145" t="e">
        <f t="shared" si="520"/>
        <v>#VALUE!</v>
      </c>
      <c r="Z250" s="35">
        <f>VLOOKUP($B250,REPORTE!$B$3:$AS$200,20,FALSE)/1000000</f>
        <v>0</v>
      </c>
      <c r="AA250" s="36" t="str">
        <f t="shared" si="521"/>
        <v/>
      </c>
      <c r="AB250" s="60" t="e">
        <f t="shared" si="522"/>
        <v>#VALUE!</v>
      </c>
      <c r="AC250" s="35">
        <f>F250-Z250</f>
        <v>0</v>
      </c>
      <c r="AD250" s="35">
        <f>VLOOKUP($B250,REPORTE!$B$3:$AS$200,22,FALSE)/1000000</f>
        <v>0</v>
      </c>
      <c r="AE250" s="36" t="str">
        <f t="shared" si="523"/>
        <v/>
      </c>
      <c r="AF250" s="127" t="e">
        <f t="shared" si="524"/>
        <v>#VALUE!</v>
      </c>
    </row>
    <row r="251" spans="1:32" s="41" customFormat="1">
      <c r="A251" s="38" t="s">
        <v>34</v>
      </c>
      <c r="B251" s="34" t="s">
        <v>34</v>
      </c>
      <c r="C251" s="35">
        <f>VLOOKUP(B251,REPORTE!$B$3:$AS$200,14,FALSE)/1000000</f>
        <v>0</v>
      </c>
      <c r="D251" s="35">
        <f>VLOOKUP(B251,REPORTE!$B$3:$AS$200,15,FALSE)/1000000</f>
        <v>0</v>
      </c>
      <c r="E251" s="35">
        <f>VLOOKUP(B251,REPORTE!$B$3:$AS$200,16,FALSE)/1000000</f>
        <v>0</v>
      </c>
      <c r="F251" s="35">
        <f>VLOOKUP(B251,REPORTE!$B$3:$AS$200,17,FALSE)/1000000</f>
        <v>0</v>
      </c>
      <c r="G251" s="35">
        <f>(VLOOKUP(B251,REPORTE!$B$3:$AS$200,18,FALSE)/1000000)</f>
        <v>0</v>
      </c>
      <c r="H251" s="35">
        <f t="shared" si="507"/>
        <v>0</v>
      </c>
      <c r="I251" s="35">
        <f t="shared" si="508"/>
        <v>0</v>
      </c>
      <c r="J251" s="36">
        <f t="shared" si="509"/>
        <v>0.3500353589645675</v>
      </c>
      <c r="K251" s="35">
        <f>VLOOKUP($B251,REPORTE!$B$3:$AS$200,20,FALSE)/1000000</f>
        <v>0</v>
      </c>
      <c r="L251" s="36" t="str">
        <f t="shared" si="510"/>
        <v/>
      </c>
      <c r="M251" s="60" t="e">
        <f t="shared" si="511"/>
        <v>#VALUE!</v>
      </c>
      <c r="N251" s="35">
        <f t="shared" si="512"/>
        <v>0</v>
      </c>
      <c r="O251" s="35">
        <f t="shared" si="513"/>
        <v>0</v>
      </c>
      <c r="P251" s="36">
        <f t="shared" si="514"/>
        <v>0.1620150267793902</v>
      </c>
      <c r="Q251" s="35">
        <f>VLOOKUP($B251,REPORTE!$B$3:$AS$200,22,FALSE)/1000000</f>
        <v>0</v>
      </c>
      <c r="R251" s="36" t="str">
        <f t="shared" si="515"/>
        <v/>
      </c>
      <c r="S251" s="60" t="e">
        <f t="shared" si="516"/>
        <v>#VALUE!</v>
      </c>
      <c r="T251" s="39">
        <f t="shared" si="517"/>
        <v>0</v>
      </c>
      <c r="U251" s="40">
        <f t="shared" si="518"/>
        <v>0.155</v>
      </c>
      <c r="V251" s="35">
        <f>VLOOKUP($B251,REPORTE!$B$3:$AS$200,23,FALSE)/1000000</f>
        <v>0</v>
      </c>
      <c r="W251" s="36" t="str">
        <f t="shared" si="519"/>
        <v/>
      </c>
      <c r="X251" s="145" t="e">
        <f t="shared" si="520"/>
        <v>#VALUE!</v>
      </c>
      <c r="Z251" s="35">
        <f>VLOOKUP($B251,REPORTE!$B$3:$AS$200,20,FALSE)/1000000</f>
        <v>0</v>
      </c>
      <c r="AA251" s="36" t="str">
        <f t="shared" si="521"/>
        <v/>
      </c>
      <c r="AB251" s="60" t="e">
        <f t="shared" si="522"/>
        <v>#VALUE!</v>
      </c>
      <c r="AC251" s="60"/>
      <c r="AD251" s="35">
        <f>VLOOKUP($B251,REPORTE!$B$3:$AS$200,22,FALSE)/1000000</f>
        <v>0</v>
      </c>
      <c r="AE251" s="36" t="str">
        <f t="shared" si="523"/>
        <v/>
      </c>
      <c r="AF251" s="127" t="e">
        <f t="shared" si="524"/>
        <v>#VALUE!</v>
      </c>
    </row>
    <row r="252" spans="1:32">
      <c r="A252" s="290" t="s">
        <v>245</v>
      </c>
      <c r="B252" s="291"/>
      <c r="C252" s="260">
        <f t="shared" ref="C252:H252" si="541">SUM(C221:C251)</f>
        <v>17628.495070000001</v>
      </c>
      <c r="D252" s="260">
        <f t="shared" si="541"/>
        <v>0</v>
      </c>
      <c r="E252" s="260">
        <f t="shared" si="541"/>
        <v>0</v>
      </c>
      <c r="F252" s="260">
        <f t="shared" si="541"/>
        <v>17628.495070000001</v>
      </c>
      <c r="G252" s="260">
        <f t="shared" si="541"/>
        <v>0</v>
      </c>
      <c r="H252" s="260">
        <f t="shared" si="541"/>
        <v>17628.495070000001</v>
      </c>
      <c r="I252" s="260">
        <f t="shared" si="508"/>
        <v>6170.5965998325591</v>
      </c>
      <c r="J252" s="261">
        <f t="shared" ref="J252" si="542">$J$6</f>
        <v>0.3500353589645675</v>
      </c>
      <c r="K252" s="260">
        <f>SUM(K221:K251)</f>
        <v>15662.896876999999</v>
      </c>
      <c r="L252" s="261">
        <f t="shared" ref="L252" si="543">IFERROR(K252/$H252,"")</f>
        <v>0.88849880916125179</v>
      </c>
      <c r="M252" s="262">
        <f t="shared" ref="M252" si="544">L252/J252</f>
        <v>2.5383115916903427</v>
      </c>
      <c r="N252" s="260">
        <f>SUM(N221:N251)</f>
        <v>1965.5981930000012</v>
      </c>
      <c r="O252" s="260">
        <f t="shared" si="513"/>
        <v>2856.0811008463984</v>
      </c>
      <c r="P252" s="261">
        <f t="shared" ref="P252" si="545">$P$6</f>
        <v>0.1620150267793902</v>
      </c>
      <c r="Q252" s="260">
        <f>SUM(Q221:Q251)</f>
        <v>27.376393</v>
      </c>
      <c r="R252" s="261">
        <f t="shared" ref="R252" si="546">IFERROR(Q252/$H252,"")</f>
        <v>1.5529625694815478E-3</v>
      </c>
      <c r="S252" s="262">
        <f t="shared" si="516"/>
        <v>9.585299588266951E-3</v>
      </c>
      <c r="T252" s="260">
        <f t="shared" si="517"/>
        <v>2732.4167358499999</v>
      </c>
      <c r="U252" s="263">
        <f t="shared" si="518"/>
        <v>0.155</v>
      </c>
      <c r="V252" s="260">
        <f>SUM(V221:V251)</f>
        <v>27.376393</v>
      </c>
      <c r="W252" s="261">
        <f t="shared" ref="W252" si="547">IFERROR(V252/$H252,"")</f>
        <v>1.5529625694815478E-3</v>
      </c>
      <c r="X252" s="264">
        <f t="shared" si="520"/>
        <v>1.0019113351493856E-2</v>
      </c>
      <c r="Z252" s="260">
        <f>SUM(Z221:Z251)</f>
        <v>15662.896876999999</v>
      </c>
      <c r="AA252" s="261">
        <f>IFERROR(Z252/$F252,"")</f>
        <v>0.88849880916125179</v>
      </c>
      <c r="AB252" s="262">
        <f t="shared" si="522"/>
        <v>2.5383115916903427</v>
      </c>
      <c r="AC252" s="260">
        <f>SUM(AC221:AC251)</f>
        <v>1965.5981930000012</v>
      </c>
      <c r="AD252" s="260">
        <f>SUM(AD221:AD251)</f>
        <v>27.376393</v>
      </c>
      <c r="AE252" s="261">
        <f>IFERROR(AD252/$F252,"")</f>
        <v>1.5529625694815478E-3</v>
      </c>
      <c r="AF252" s="264">
        <f t="shared" si="524"/>
        <v>9.585299588266951E-3</v>
      </c>
    </row>
    <row r="253" spans="1:32" ht="15">
      <c r="J253"/>
      <c r="M253"/>
      <c r="P253"/>
      <c r="S253"/>
      <c r="X253"/>
      <c r="AB253"/>
      <c r="AC253"/>
      <c r="AF253" s="162"/>
    </row>
    <row r="254" spans="1:32" ht="23.25" customHeight="1">
      <c r="A254" s="292" t="s">
        <v>443</v>
      </c>
      <c r="B254" s="293"/>
      <c r="C254" s="293"/>
      <c r="D254" s="293"/>
      <c r="E254" s="293"/>
      <c r="F254" s="293"/>
      <c r="G254" s="293"/>
      <c r="H254" s="293"/>
      <c r="I254" s="294" t="s">
        <v>2</v>
      </c>
      <c r="J254" s="295"/>
      <c r="K254" s="295"/>
      <c r="L254" s="295"/>
      <c r="M254" s="295"/>
      <c r="N254" s="296" t="s">
        <v>367</v>
      </c>
      <c r="O254" s="298" t="s">
        <v>3</v>
      </c>
      <c r="P254" s="299"/>
      <c r="Q254" s="299"/>
      <c r="R254" s="299"/>
      <c r="S254" s="300"/>
      <c r="T254" s="301" t="s">
        <v>113</v>
      </c>
      <c r="U254" s="301"/>
      <c r="V254" s="301"/>
      <c r="W254" s="301"/>
      <c r="X254" s="302"/>
      <c r="Z254" s="299" t="s">
        <v>2</v>
      </c>
      <c r="AA254" s="299"/>
      <c r="AB254" s="300"/>
      <c r="AC254" s="296" t="s">
        <v>367</v>
      </c>
      <c r="AD254" s="299" t="s">
        <v>3</v>
      </c>
      <c r="AE254" s="299"/>
      <c r="AF254" s="308"/>
    </row>
    <row r="255" spans="1:32" ht="31.5">
      <c r="A255" s="256" t="s">
        <v>0</v>
      </c>
      <c r="B255" s="257" t="s">
        <v>243</v>
      </c>
      <c r="C255" s="255" t="s">
        <v>361</v>
      </c>
      <c r="D255" s="257" t="s">
        <v>355</v>
      </c>
      <c r="E255" s="257" t="s">
        <v>356</v>
      </c>
      <c r="F255" s="255" t="s">
        <v>1</v>
      </c>
      <c r="G255" s="255" t="s">
        <v>362</v>
      </c>
      <c r="H255" s="255" t="s">
        <v>358</v>
      </c>
      <c r="I255" s="255" t="s">
        <v>257</v>
      </c>
      <c r="J255" s="266" t="s">
        <v>4</v>
      </c>
      <c r="K255" s="255" t="s">
        <v>5</v>
      </c>
      <c r="L255" s="303" t="s">
        <v>4</v>
      </c>
      <c r="M255" s="304"/>
      <c r="N255" s="297"/>
      <c r="O255" s="255" t="str">
        <f>I255</f>
        <v>Meta</v>
      </c>
      <c r="P255" s="266" t="s">
        <v>4</v>
      </c>
      <c r="Q255" s="255" t="s">
        <v>5</v>
      </c>
      <c r="R255" s="303" t="s">
        <v>4</v>
      </c>
      <c r="S255" s="304"/>
      <c r="T255" s="255" t="str">
        <f>O255</f>
        <v>Meta</v>
      </c>
      <c r="U255" s="255" t="s">
        <v>4</v>
      </c>
      <c r="V255" s="255" t="s">
        <v>5</v>
      </c>
      <c r="W255" s="303" t="s">
        <v>4</v>
      </c>
      <c r="X255" s="305"/>
      <c r="Z255" s="255" t="s">
        <v>5</v>
      </c>
      <c r="AA255" s="303" t="s">
        <v>4</v>
      </c>
      <c r="AB255" s="304"/>
      <c r="AC255" s="297"/>
      <c r="AD255" s="255" t="s">
        <v>5</v>
      </c>
      <c r="AE255" s="303" t="s">
        <v>4</v>
      </c>
      <c r="AF255" s="309"/>
    </row>
    <row r="256" spans="1:32" ht="21.95" customHeight="1">
      <c r="A256" s="38" t="s">
        <v>24</v>
      </c>
      <c r="B256" s="41" t="s">
        <v>24</v>
      </c>
      <c r="C256" s="35">
        <f>VLOOKUP(B256,REPORTE!$B$3:$AS$200,38,FALSE)/1000000</f>
        <v>263.76007099999998</v>
      </c>
      <c r="D256" s="35">
        <f>VLOOKUP(B256,REPORTE!$B$3:$AS$200,39,FALSE)/1000000</f>
        <v>0</v>
      </c>
      <c r="E256" s="35">
        <f>VLOOKUP(B256,REPORTE!$B$3:$AS$200,40,FALSE)/1000000</f>
        <v>0</v>
      </c>
      <c r="F256" s="35">
        <f>VLOOKUP(B256,REPORTE!$B$3:$AV$200,41,FALSE)/1000000</f>
        <v>263.76007099999998</v>
      </c>
      <c r="G256" s="35">
        <f>(VLOOKUP(B256,REPORTE!$B$3:$AV$200,42,FALSE)/1000000)</f>
        <v>0</v>
      </c>
      <c r="H256" s="35">
        <f t="shared" ref="H256:H286" si="548">F256-G256</f>
        <v>263.76007099999998</v>
      </c>
      <c r="I256" s="35">
        <f t="shared" ref="I256:I287" si="549">J256*$H256</f>
        <v>92.325351133004801</v>
      </c>
      <c r="J256" s="36">
        <f t="shared" ref="J256:J287" si="550">$J$6</f>
        <v>0.3500353589645675</v>
      </c>
      <c r="K256" s="35">
        <f>VLOOKUP($B256,REPORTE!$B$3:$AV$200,44,FALSE)/1000000</f>
        <v>0</v>
      </c>
      <c r="L256" s="36">
        <f t="shared" ref="L256:L286" si="551">IF(H256=0,"",IF(H256="","",K256/$H256))</f>
        <v>0</v>
      </c>
      <c r="M256" s="60">
        <f t="shared" ref="M256:M287" si="552">L256/J256</f>
        <v>0</v>
      </c>
      <c r="N256" s="35">
        <f t="shared" ref="N256:N286" si="553">H256-K256</f>
        <v>263.76007099999998</v>
      </c>
      <c r="O256" s="35">
        <f t="shared" ref="O256:O287" si="554">P256*$H256</f>
        <v>42.733094966398859</v>
      </c>
      <c r="P256" s="36">
        <f t="shared" ref="P256:P287" si="555">$P$6</f>
        <v>0.1620150267793902</v>
      </c>
      <c r="Q256" s="35">
        <f>VLOOKUP($B256,REPORTE!$B$3:$AV$200,46,FALSE)/1000000</f>
        <v>0</v>
      </c>
      <c r="R256" s="36">
        <f t="shared" ref="R256:R286" si="556">IF(H256=0,"",IF(H256="","",Q256/$H256))</f>
        <v>0</v>
      </c>
      <c r="S256" s="60">
        <f t="shared" ref="S256:S287" si="557">R256/P256</f>
        <v>0</v>
      </c>
      <c r="T256" s="35">
        <f t="shared" ref="T256:T287" si="558">U256*$H256</f>
        <v>40.882811004999994</v>
      </c>
      <c r="U256" s="40">
        <f t="shared" ref="U256:U287" si="559">$U$6</f>
        <v>0.155</v>
      </c>
      <c r="V256" s="35">
        <f>VLOOKUP($B256,REPORTE!$B$3:$AV$200,47,FALSE)/1000000</f>
        <v>0</v>
      </c>
      <c r="W256" s="36">
        <f t="shared" ref="W256:W286" si="560">IF(H256=0,"",IF(H256="","",V256/$H256))</f>
        <v>0</v>
      </c>
      <c r="X256" s="145">
        <f t="shared" ref="X256:X287" si="561">W256/U256</f>
        <v>0</v>
      </c>
      <c r="Y256" s="41"/>
      <c r="Z256" s="35">
        <f>VLOOKUP($B256,REPORTE!$B$3:$AV$200,44,FALSE)/1000000</f>
        <v>0</v>
      </c>
      <c r="AA256" s="36">
        <f t="shared" ref="AA256:AA286" si="562">IF(F256=0,"",IF(F256="","",Z256/$F256))</f>
        <v>0</v>
      </c>
      <c r="AB256" s="60">
        <f t="shared" ref="AB256:AB287" si="563">AA256/$J256</f>
        <v>0</v>
      </c>
      <c r="AC256" s="35">
        <f t="shared" ref="AC256:AC286" si="564">F256-Z256</f>
        <v>263.76007099999998</v>
      </c>
      <c r="AD256" s="35">
        <f>VLOOKUP($B256,REPORTE!$B$3:$AV$200,46,FALSE)/1000000</f>
        <v>0</v>
      </c>
      <c r="AE256" s="36">
        <f t="shared" ref="AE256:AE286" si="565">IF(F256=0,"",IF(F256="","",AD256/$F256))</f>
        <v>0</v>
      </c>
      <c r="AF256" s="127">
        <f t="shared" ref="AF256:AF287" si="566">AE256/P256</f>
        <v>0</v>
      </c>
    </row>
    <row r="257" spans="1:32" ht="21.95" hidden="1" customHeight="1">
      <c r="A257" s="38" t="s">
        <v>392</v>
      </c>
      <c r="B257" s="34" t="s">
        <v>392</v>
      </c>
      <c r="C257" s="35">
        <f>VLOOKUP(B257,REPORTE!$B$3:$AS$200,38,FALSE)/1000000</f>
        <v>0</v>
      </c>
      <c r="D257" s="35">
        <f>VLOOKUP(B257,REPORTE!$B$3:$AS$200,39,FALSE)/1000000</f>
        <v>0</v>
      </c>
      <c r="E257" s="35">
        <f>VLOOKUP(B257,REPORTE!$B$3:$AS$200,40,FALSE)/1000000</f>
        <v>0</v>
      </c>
      <c r="F257" s="35">
        <f>VLOOKUP(B257,REPORTE!$B$3:$AV$200,41,FALSE)/1000000</f>
        <v>0</v>
      </c>
      <c r="G257" s="35">
        <f>(VLOOKUP(B257,REPORTE!$B$3:$AV$200,42,FALSE)/1000000)</f>
        <v>0</v>
      </c>
      <c r="H257" s="35">
        <f t="shared" si="548"/>
        <v>0</v>
      </c>
      <c r="I257" s="35">
        <f t="shared" si="549"/>
        <v>0</v>
      </c>
      <c r="J257" s="36">
        <f t="shared" si="550"/>
        <v>0.3500353589645675</v>
      </c>
      <c r="K257" s="35">
        <f>VLOOKUP($B257,REPORTE!$B$3:$AV$200,44,FALSE)/1000000</f>
        <v>0</v>
      </c>
      <c r="L257" s="36" t="str">
        <f t="shared" si="551"/>
        <v/>
      </c>
      <c r="M257" s="60" t="e">
        <f t="shared" si="552"/>
        <v>#VALUE!</v>
      </c>
      <c r="N257" s="35">
        <f t="shared" si="553"/>
        <v>0</v>
      </c>
      <c r="O257" s="35">
        <f t="shared" si="554"/>
        <v>0</v>
      </c>
      <c r="P257" s="36">
        <f t="shared" si="555"/>
        <v>0.1620150267793902</v>
      </c>
      <c r="Q257" s="35">
        <f>VLOOKUP($B257,REPORTE!$B$3:$AV$200,46,FALSE)/1000000</f>
        <v>0</v>
      </c>
      <c r="R257" s="36" t="str">
        <f t="shared" si="556"/>
        <v/>
      </c>
      <c r="S257" s="60" t="e">
        <f t="shared" si="557"/>
        <v>#VALUE!</v>
      </c>
      <c r="T257" s="35">
        <f t="shared" si="558"/>
        <v>0</v>
      </c>
      <c r="U257" s="40">
        <f t="shared" si="559"/>
        <v>0.155</v>
      </c>
      <c r="V257" s="35">
        <f>VLOOKUP($B257,REPORTE!$B$3:$AV$200,47,FALSE)/1000000</f>
        <v>0</v>
      </c>
      <c r="W257" s="36" t="str">
        <f t="shared" si="560"/>
        <v/>
      </c>
      <c r="X257" s="145" t="e">
        <f t="shared" si="561"/>
        <v>#VALUE!</v>
      </c>
      <c r="Y257" s="41"/>
      <c r="Z257" s="35">
        <f>VLOOKUP($B257,REPORTE!$B$3:$AV$200,44,FALSE)/1000000</f>
        <v>0</v>
      </c>
      <c r="AA257" s="36" t="str">
        <f t="shared" si="562"/>
        <v/>
      </c>
      <c r="AB257" s="60" t="e">
        <f t="shared" si="563"/>
        <v>#VALUE!</v>
      </c>
      <c r="AC257" s="35">
        <f t="shared" si="564"/>
        <v>0</v>
      </c>
      <c r="AD257" s="35">
        <f>VLOOKUP($B257,REPORTE!$B$3:$AV$200,46,FALSE)/1000000</f>
        <v>0</v>
      </c>
      <c r="AE257" s="36" t="str">
        <f t="shared" si="565"/>
        <v/>
      </c>
      <c r="AF257" s="127" t="e">
        <f t="shared" si="566"/>
        <v>#VALUE!</v>
      </c>
    </row>
    <row r="258" spans="1:32" ht="21.95" customHeight="1">
      <c r="A258" s="38" t="s">
        <v>27</v>
      </c>
      <c r="B258" s="34" t="s">
        <v>27</v>
      </c>
      <c r="C258" s="35">
        <f>VLOOKUP(B258,REPORTE!$B$3:$AS$200,38,FALSE)/1000000</f>
        <v>1335.666786</v>
      </c>
      <c r="D258" s="35">
        <f>VLOOKUP(B258,REPORTE!$B$3:$AS$200,39,FALSE)/1000000</f>
        <v>0</v>
      </c>
      <c r="E258" s="35">
        <f>VLOOKUP(B258,REPORTE!$B$3:$AS$200,40,FALSE)/1000000</f>
        <v>0</v>
      </c>
      <c r="F258" s="35">
        <f>VLOOKUP(B258,REPORTE!$B$3:$AV$200,41,FALSE)/1000000</f>
        <v>1335.666786</v>
      </c>
      <c r="G258" s="35">
        <f>(VLOOKUP(B258,REPORTE!$B$3:$AV$200,42,FALSE)/1000000)</f>
        <v>0</v>
      </c>
      <c r="H258" s="35">
        <f t="shared" si="548"/>
        <v>1335.666786</v>
      </c>
      <c r="I258" s="35">
        <f t="shared" si="549"/>
        <v>467.53060289456016</v>
      </c>
      <c r="J258" s="36">
        <f t="shared" si="550"/>
        <v>0.3500353589645675</v>
      </c>
      <c r="K258" s="35">
        <f>VLOOKUP($B258,REPORTE!$B$3:$AV$200,44,FALSE)/1000000</f>
        <v>0</v>
      </c>
      <c r="L258" s="36">
        <f t="shared" si="551"/>
        <v>0</v>
      </c>
      <c r="M258" s="60">
        <f t="shared" si="552"/>
        <v>0</v>
      </c>
      <c r="N258" s="35">
        <f t="shared" si="553"/>
        <v>1335.666786</v>
      </c>
      <c r="O258" s="35">
        <f t="shared" si="554"/>
        <v>216.39809010213204</v>
      </c>
      <c r="P258" s="36">
        <f t="shared" si="555"/>
        <v>0.1620150267793902</v>
      </c>
      <c r="Q258" s="35">
        <f>VLOOKUP($B258,REPORTE!$B$3:$AV$200,46,FALSE)/1000000</f>
        <v>0</v>
      </c>
      <c r="R258" s="36">
        <f t="shared" si="556"/>
        <v>0</v>
      </c>
      <c r="S258" s="60">
        <f t="shared" si="557"/>
        <v>0</v>
      </c>
      <c r="T258" s="35">
        <f t="shared" si="558"/>
        <v>207.02835182999999</v>
      </c>
      <c r="U258" s="40">
        <f t="shared" si="559"/>
        <v>0.155</v>
      </c>
      <c r="V258" s="35">
        <f>VLOOKUP($B258,REPORTE!$B$3:$AV$200,47,FALSE)/1000000</f>
        <v>0</v>
      </c>
      <c r="W258" s="36">
        <f t="shared" si="560"/>
        <v>0</v>
      </c>
      <c r="X258" s="145">
        <f t="shared" si="561"/>
        <v>0</v>
      </c>
      <c r="Y258" s="41"/>
      <c r="Z258" s="35">
        <f>VLOOKUP($B258,REPORTE!$B$3:$AV$200,44,FALSE)/1000000</f>
        <v>0</v>
      </c>
      <c r="AA258" s="36">
        <f t="shared" si="562"/>
        <v>0</v>
      </c>
      <c r="AB258" s="60">
        <f t="shared" si="563"/>
        <v>0</v>
      </c>
      <c r="AC258" s="35">
        <f t="shared" si="564"/>
        <v>1335.666786</v>
      </c>
      <c r="AD258" s="35">
        <f>VLOOKUP($B258,REPORTE!$B$3:$AV$200,46,FALSE)/1000000</f>
        <v>0</v>
      </c>
      <c r="AE258" s="36">
        <f t="shared" si="565"/>
        <v>0</v>
      </c>
      <c r="AF258" s="127">
        <f t="shared" si="566"/>
        <v>0</v>
      </c>
    </row>
    <row r="259" spans="1:32" ht="21.95" hidden="1" customHeight="1">
      <c r="A259" s="38" t="s">
        <v>28</v>
      </c>
      <c r="B259" s="34" t="s">
        <v>28</v>
      </c>
      <c r="C259" s="35">
        <f>VLOOKUP(B259,REPORTE!$B$3:$AS$200,38,FALSE)/1000000</f>
        <v>0</v>
      </c>
      <c r="D259" s="35">
        <f>VLOOKUP(B259,REPORTE!$B$3:$AS$200,39,FALSE)/1000000</f>
        <v>0</v>
      </c>
      <c r="E259" s="35">
        <f>VLOOKUP(B259,REPORTE!$B$3:$AS$200,40,FALSE)/1000000</f>
        <v>0</v>
      </c>
      <c r="F259" s="35">
        <f>VLOOKUP(B259,REPORTE!$B$3:$AV$200,41,FALSE)/1000000</f>
        <v>0</v>
      </c>
      <c r="G259" s="35">
        <f>(VLOOKUP(B259,REPORTE!$B$3:$AV$200,42,FALSE)/1000000)</f>
        <v>0</v>
      </c>
      <c r="H259" s="35">
        <f t="shared" si="548"/>
        <v>0</v>
      </c>
      <c r="I259" s="35">
        <f t="shared" si="549"/>
        <v>0</v>
      </c>
      <c r="J259" s="36">
        <f t="shared" si="550"/>
        <v>0.3500353589645675</v>
      </c>
      <c r="K259" s="35">
        <f>VLOOKUP($B259,REPORTE!$B$3:$AV$200,44,FALSE)/1000000</f>
        <v>0</v>
      </c>
      <c r="L259" s="36" t="str">
        <f t="shared" si="551"/>
        <v/>
      </c>
      <c r="M259" s="60" t="e">
        <f t="shared" si="552"/>
        <v>#VALUE!</v>
      </c>
      <c r="N259" s="35">
        <f t="shared" si="553"/>
        <v>0</v>
      </c>
      <c r="O259" s="35">
        <f t="shared" si="554"/>
        <v>0</v>
      </c>
      <c r="P259" s="36">
        <f t="shared" si="555"/>
        <v>0.1620150267793902</v>
      </c>
      <c r="Q259" s="35">
        <f>VLOOKUP($B259,REPORTE!$B$3:$AV$200,46,FALSE)/1000000</f>
        <v>0</v>
      </c>
      <c r="R259" s="36" t="str">
        <f t="shared" si="556"/>
        <v/>
      </c>
      <c r="S259" s="60" t="e">
        <f t="shared" si="557"/>
        <v>#VALUE!</v>
      </c>
      <c r="T259" s="35">
        <f t="shared" si="558"/>
        <v>0</v>
      </c>
      <c r="U259" s="40">
        <f t="shared" si="559"/>
        <v>0.155</v>
      </c>
      <c r="V259" s="35">
        <f>VLOOKUP($B259,REPORTE!$B$3:$AV$200,47,FALSE)/1000000</f>
        <v>0</v>
      </c>
      <c r="W259" s="36" t="str">
        <f t="shared" si="560"/>
        <v/>
      </c>
      <c r="X259" s="145" t="e">
        <f t="shared" si="561"/>
        <v>#VALUE!</v>
      </c>
      <c r="Y259" s="41"/>
      <c r="Z259" s="35">
        <f>VLOOKUP($B259,REPORTE!$B$3:$AV$200,44,FALSE)/1000000</f>
        <v>0</v>
      </c>
      <c r="AA259" s="36" t="str">
        <f t="shared" si="562"/>
        <v/>
      </c>
      <c r="AB259" s="60" t="e">
        <f t="shared" si="563"/>
        <v>#VALUE!</v>
      </c>
      <c r="AC259" s="35">
        <f t="shared" si="564"/>
        <v>0</v>
      </c>
      <c r="AD259" s="35">
        <f>VLOOKUP($B259,REPORTE!$B$3:$AV$200,46,FALSE)/1000000</f>
        <v>0</v>
      </c>
      <c r="AE259" s="36" t="str">
        <f t="shared" si="565"/>
        <v/>
      </c>
      <c r="AF259" s="127" t="e">
        <f t="shared" si="566"/>
        <v>#VALUE!</v>
      </c>
    </row>
    <row r="260" spans="1:32" ht="21.95" hidden="1" customHeight="1">
      <c r="A260" s="38" t="s">
        <v>29</v>
      </c>
      <c r="B260" s="34" t="s">
        <v>29</v>
      </c>
      <c r="C260" s="35">
        <f>VLOOKUP(B260,REPORTE!$B$3:$AS$200,38,FALSE)/1000000</f>
        <v>193.91366199999999</v>
      </c>
      <c r="D260" s="35">
        <f>VLOOKUP(B260,REPORTE!$B$3:$AS$200,39,FALSE)/1000000</f>
        <v>0</v>
      </c>
      <c r="E260" s="35">
        <f>VLOOKUP(B260,REPORTE!$B$3:$AS$200,40,FALSE)/1000000</f>
        <v>0</v>
      </c>
      <c r="F260" s="35">
        <f>VLOOKUP(B260,REPORTE!$B$3:$AV$200,41,FALSE)/1000000</f>
        <v>193.91366199999999</v>
      </c>
      <c r="G260" s="35">
        <f>(VLOOKUP(B260,REPORTE!$B$3:$AV$200,42,FALSE)/1000000)</f>
        <v>0</v>
      </c>
      <c r="H260" s="35">
        <f t="shared" si="548"/>
        <v>193.91366199999999</v>
      </c>
      <c r="I260" s="35">
        <f t="shared" si="549"/>
        <v>67.876638286303802</v>
      </c>
      <c r="J260" s="36">
        <f t="shared" si="550"/>
        <v>0.3500353589645675</v>
      </c>
      <c r="K260" s="35">
        <f>VLOOKUP($B260,REPORTE!$B$3:$AV$200,44,FALSE)/1000000</f>
        <v>0</v>
      </c>
      <c r="L260" s="36">
        <f t="shared" si="551"/>
        <v>0</v>
      </c>
      <c r="M260" s="60">
        <f t="shared" si="552"/>
        <v>0</v>
      </c>
      <c r="N260" s="35">
        <f t="shared" si="553"/>
        <v>193.91366199999999</v>
      </c>
      <c r="O260" s="35">
        <f t="shared" si="554"/>
        <v>31.416927141819617</v>
      </c>
      <c r="P260" s="36">
        <f t="shared" si="555"/>
        <v>0.1620150267793902</v>
      </c>
      <c r="Q260" s="35">
        <f>VLOOKUP($B260,REPORTE!$B$3:$AV$200,46,FALSE)/1000000</f>
        <v>0</v>
      </c>
      <c r="R260" s="36">
        <f t="shared" si="556"/>
        <v>0</v>
      </c>
      <c r="S260" s="60">
        <f t="shared" si="557"/>
        <v>0</v>
      </c>
      <c r="T260" s="35">
        <f t="shared" si="558"/>
        <v>30.056617609999996</v>
      </c>
      <c r="U260" s="40">
        <f t="shared" si="559"/>
        <v>0.155</v>
      </c>
      <c r="V260" s="35">
        <f>VLOOKUP($B260,REPORTE!$B$3:$AV$200,47,FALSE)/1000000</f>
        <v>0</v>
      </c>
      <c r="W260" s="36">
        <f t="shared" si="560"/>
        <v>0</v>
      </c>
      <c r="X260" s="145">
        <f t="shared" si="561"/>
        <v>0</v>
      </c>
      <c r="Y260" s="41"/>
      <c r="Z260" s="35">
        <f>VLOOKUP($B260,REPORTE!$B$3:$AV$200,44,FALSE)/1000000</f>
        <v>0</v>
      </c>
      <c r="AA260" s="36">
        <f t="shared" si="562"/>
        <v>0</v>
      </c>
      <c r="AB260" s="60">
        <f t="shared" si="563"/>
        <v>0</v>
      </c>
      <c r="AC260" s="35">
        <f t="shared" si="564"/>
        <v>193.91366199999999</v>
      </c>
      <c r="AD260" s="35">
        <f>VLOOKUP($B260,REPORTE!$B$3:$AV$200,46,FALSE)/1000000</f>
        <v>0</v>
      </c>
      <c r="AE260" s="36">
        <f t="shared" si="565"/>
        <v>0</v>
      </c>
      <c r="AF260" s="127">
        <f t="shared" si="566"/>
        <v>0</v>
      </c>
    </row>
    <row r="261" spans="1:32" ht="21.95" hidden="1" customHeight="1">
      <c r="A261" s="38" t="s">
        <v>30</v>
      </c>
      <c r="B261" s="34" t="s">
        <v>30</v>
      </c>
      <c r="C261" s="35">
        <f>VLOOKUP(B261,REPORTE!$B$3:$AS$200,38,FALSE)/1000000</f>
        <v>0</v>
      </c>
      <c r="D261" s="35">
        <f>VLOOKUP(B261,REPORTE!$B$3:$AS$200,39,FALSE)/1000000</f>
        <v>0</v>
      </c>
      <c r="E261" s="35">
        <f>VLOOKUP(B261,REPORTE!$B$3:$AS$200,40,FALSE)/1000000</f>
        <v>0</v>
      </c>
      <c r="F261" s="35">
        <f>VLOOKUP(B261,REPORTE!$B$3:$AV$200,41,FALSE)/1000000</f>
        <v>0</v>
      </c>
      <c r="G261" s="35">
        <f>(VLOOKUP(B261,REPORTE!$B$3:$AV$200,42,FALSE)/1000000)</f>
        <v>0</v>
      </c>
      <c r="H261" s="35">
        <f t="shared" si="548"/>
        <v>0</v>
      </c>
      <c r="I261" s="35">
        <f t="shared" si="549"/>
        <v>0</v>
      </c>
      <c r="J261" s="36">
        <f t="shared" si="550"/>
        <v>0.3500353589645675</v>
      </c>
      <c r="K261" s="35">
        <f>VLOOKUP($B261,REPORTE!$B$3:$AV$200,44,FALSE)/1000000</f>
        <v>0</v>
      </c>
      <c r="L261" s="36" t="str">
        <f t="shared" si="551"/>
        <v/>
      </c>
      <c r="M261" s="60" t="e">
        <f t="shared" si="552"/>
        <v>#VALUE!</v>
      </c>
      <c r="N261" s="35">
        <f t="shared" si="553"/>
        <v>0</v>
      </c>
      <c r="O261" s="35">
        <f t="shared" si="554"/>
        <v>0</v>
      </c>
      <c r="P261" s="36">
        <f t="shared" si="555"/>
        <v>0.1620150267793902</v>
      </c>
      <c r="Q261" s="35">
        <f>VLOOKUP($B261,REPORTE!$B$3:$AV$200,46,FALSE)/1000000</f>
        <v>0</v>
      </c>
      <c r="R261" s="36" t="str">
        <f t="shared" si="556"/>
        <v/>
      </c>
      <c r="S261" s="60" t="e">
        <f t="shared" si="557"/>
        <v>#VALUE!</v>
      </c>
      <c r="T261" s="35">
        <f t="shared" si="558"/>
        <v>0</v>
      </c>
      <c r="U261" s="40">
        <f t="shared" si="559"/>
        <v>0.155</v>
      </c>
      <c r="V261" s="35">
        <f>VLOOKUP($B261,REPORTE!$B$3:$AV$200,47,FALSE)/1000000</f>
        <v>0</v>
      </c>
      <c r="W261" s="36" t="str">
        <f t="shared" si="560"/>
        <v/>
      </c>
      <c r="X261" s="145" t="e">
        <f t="shared" si="561"/>
        <v>#VALUE!</v>
      </c>
      <c r="Y261" s="41"/>
      <c r="Z261" s="35">
        <f>VLOOKUP($B261,REPORTE!$B$3:$AV$200,44,FALSE)/1000000</f>
        <v>0</v>
      </c>
      <c r="AA261" s="36" t="str">
        <f t="shared" si="562"/>
        <v/>
      </c>
      <c r="AB261" s="60" t="e">
        <f t="shared" si="563"/>
        <v>#VALUE!</v>
      </c>
      <c r="AC261" s="35">
        <f t="shared" si="564"/>
        <v>0</v>
      </c>
      <c r="AD261" s="35">
        <f>VLOOKUP($B261,REPORTE!$B$3:$AV$200,46,FALSE)/1000000</f>
        <v>0</v>
      </c>
      <c r="AE261" s="36" t="str">
        <f t="shared" si="565"/>
        <v/>
      </c>
      <c r="AF261" s="127" t="e">
        <f t="shared" si="566"/>
        <v>#VALUE!</v>
      </c>
    </row>
    <row r="262" spans="1:32" ht="21.95" hidden="1" customHeight="1">
      <c r="A262" s="38" t="s">
        <v>32</v>
      </c>
      <c r="B262" s="34" t="s">
        <v>32</v>
      </c>
      <c r="C262" s="35">
        <f>VLOOKUP(B262,REPORTE!$B$3:$AS$200,38,FALSE)/1000000</f>
        <v>0</v>
      </c>
      <c r="D262" s="35">
        <f>VLOOKUP(B262,REPORTE!$B$3:$AS$200,39,FALSE)/1000000</f>
        <v>0</v>
      </c>
      <c r="E262" s="35">
        <f>VLOOKUP(B262,REPORTE!$B$3:$AS$200,40,FALSE)/1000000</f>
        <v>0</v>
      </c>
      <c r="F262" s="35">
        <f>VLOOKUP(B262,REPORTE!$B$3:$AV$200,41,FALSE)/1000000</f>
        <v>0</v>
      </c>
      <c r="G262" s="35">
        <f>(VLOOKUP(B262,REPORTE!$B$3:$AV$200,42,FALSE)/1000000)</f>
        <v>0</v>
      </c>
      <c r="H262" s="35">
        <f t="shared" si="548"/>
        <v>0</v>
      </c>
      <c r="I262" s="35">
        <f t="shared" si="549"/>
        <v>0</v>
      </c>
      <c r="J262" s="36">
        <f t="shared" si="550"/>
        <v>0.3500353589645675</v>
      </c>
      <c r="K262" s="35">
        <f>VLOOKUP($B262,REPORTE!$B$3:$AV$200,44,FALSE)/1000000</f>
        <v>0</v>
      </c>
      <c r="L262" s="36" t="str">
        <f t="shared" si="551"/>
        <v/>
      </c>
      <c r="M262" s="60" t="e">
        <f t="shared" si="552"/>
        <v>#VALUE!</v>
      </c>
      <c r="N262" s="35">
        <f t="shared" si="553"/>
        <v>0</v>
      </c>
      <c r="O262" s="35">
        <f t="shared" si="554"/>
        <v>0</v>
      </c>
      <c r="P262" s="36">
        <f t="shared" si="555"/>
        <v>0.1620150267793902</v>
      </c>
      <c r="Q262" s="35">
        <f>VLOOKUP($B262,REPORTE!$B$3:$AV$200,46,FALSE)/1000000</f>
        <v>0</v>
      </c>
      <c r="R262" s="36" t="str">
        <f t="shared" si="556"/>
        <v/>
      </c>
      <c r="S262" s="60" t="e">
        <f t="shared" si="557"/>
        <v>#VALUE!</v>
      </c>
      <c r="T262" s="35">
        <f t="shared" si="558"/>
        <v>0</v>
      </c>
      <c r="U262" s="40">
        <f t="shared" si="559"/>
        <v>0.155</v>
      </c>
      <c r="V262" s="35">
        <f>VLOOKUP($B262,REPORTE!$B$3:$AV$200,47,FALSE)/1000000</f>
        <v>0</v>
      </c>
      <c r="W262" s="36" t="str">
        <f t="shared" si="560"/>
        <v/>
      </c>
      <c r="X262" s="145" t="e">
        <f t="shared" si="561"/>
        <v>#VALUE!</v>
      </c>
      <c r="Y262" s="41"/>
      <c r="Z262" s="35">
        <f>VLOOKUP($B262,REPORTE!$B$3:$AV$200,44,FALSE)/1000000</f>
        <v>0</v>
      </c>
      <c r="AA262" s="36" t="str">
        <f t="shared" si="562"/>
        <v/>
      </c>
      <c r="AB262" s="60" t="e">
        <f t="shared" si="563"/>
        <v>#VALUE!</v>
      </c>
      <c r="AC262" s="35">
        <f t="shared" si="564"/>
        <v>0</v>
      </c>
      <c r="AD262" s="35">
        <f>VLOOKUP($B262,REPORTE!$B$3:$AV$200,46,FALSE)/1000000</f>
        <v>0</v>
      </c>
      <c r="AE262" s="36" t="str">
        <f t="shared" si="565"/>
        <v/>
      </c>
      <c r="AF262" s="127" t="e">
        <f t="shared" si="566"/>
        <v>#VALUE!</v>
      </c>
    </row>
    <row r="263" spans="1:32" ht="21.95" hidden="1" customHeight="1">
      <c r="A263" s="38" t="s">
        <v>33</v>
      </c>
      <c r="B263" s="34" t="s">
        <v>33</v>
      </c>
      <c r="C263" s="35">
        <f>VLOOKUP(B263,REPORTE!$B$3:$AS$200,38,FALSE)/1000000</f>
        <v>0</v>
      </c>
      <c r="D263" s="35">
        <f>VLOOKUP(B263,REPORTE!$B$3:$AS$200,39,FALSE)/1000000</f>
        <v>0</v>
      </c>
      <c r="E263" s="35">
        <f>VLOOKUP(B263,REPORTE!$B$3:$AS$200,40,FALSE)/1000000</f>
        <v>0</v>
      </c>
      <c r="F263" s="35">
        <f>VLOOKUP(B263,REPORTE!$B$3:$AV$200,41,FALSE)/1000000</f>
        <v>0</v>
      </c>
      <c r="G263" s="35">
        <f>(VLOOKUP(B263,REPORTE!$B$3:$AV$200,42,FALSE)/1000000)</f>
        <v>0</v>
      </c>
      <c r="H263" s="35">
        <f t="shared" si="548"/>
        <v>0</v>
      </c>
      <c r="I263" s="35">
        <f t="shared" si="549"/>
        <v>0</v>
      </c>
      <c r="J263" s="36">
        <f t="shared" si="550"/>
        <v>0.3500353589645675</v>
      </c>
      <c r="K263" s="35">
        <f>VLOOKUP($B263,REPORTE!$B$3:$AV$200,44,FALSE)/1000000</f>
        <v>0</v>
      </c>
      <c r="L263" s="36" t="str">
        <f t="shared" si="551"/>
        <v/>
      </c>
      <c r="M263" s="60" t="e">
        <f t="shared" si="552"/>
        <v>#VALUE!</v>
      </c>
      <c r="N263" s="35">
        <f t="shared" si="553"/>
        <v>0</v>
      </c>
      <c r="O263" s="35">
        <f t="shared" si="554"/>
        <v>0</v>
      </c>
      <c r="P263" s="36">
        <f t="shared" si="555"/>
        <v>0.1620150267793902</v>
      </c>
      <c r="Q263" s="35">
        <f>VLOOKUP($B263,REPORTE!$B$3:$AV$200,46,FALSE)/1000000</f>
        <v>0</v>
      </c>
      <c r="R263" s="36" t="str">
        <f t="shared" si="556"/>
        <v/>
      </c>
      <c r="S263" s="60" t="e">
        <f t="shared" si="557"/>
        <v>#VALUE!</v>
      </c>
      <c r="T263" s="35">
        <f t="shared" si="558"/>
        <v>0</v>
      </c>
      <c r="U263" s="40">
        <f t="shared" si="559"/>
        <v>0.155</v>
      </c>
      <c r="V263" s="35">
        <f>VLOOKUP($B263,REPORTE!$B$3:$AV$200,47,FALSE)/1000000</f>
        <v>0</v>
      </c>
      <c r="W263" s="36" t="str">
        <f t="shared" si="560"/>
        <v/>
      </c>
      <c r="X263" s="145" t="e">
        <f t="shared" si="561"/>
        <v>#VALUE!</v>
      </c>
      <c r="Y263" s="41"/>
      <c r="Z263" s="35">
        <f>VLOOKUP($B263,REPORTE!$B$3:$AV$200,44,FALSE)/1000000</f>
        <v>0</v>
      </c>
      <c r="AA263" s="36" t="str">
        <f t="shared" si="562"/>
        <v/>
      </c>
      <c r="AB263" s="60" t="e">
        <f t="shared" si="563"/>
        <v>#VALUE!</v>
      </c>
      <c r="AC263" s="35">
        <f t="shared" si="564"/>
        <v>0</v>
      </c>
      <c r="AD263" s="35">
        <f>VLOOKUP($B263,REPORTE!$B$3:$AV$200,46,FALSE)/1000000</f>
        <v>0</v>
      </c>
      <c r="AE263" s="36" t="str">
        <f t="shared" si="565"/>
        <v/>
      </c>
      <c r="AF263" s="127" t="e">
        <f t="shared" si="566"/>
        <v>#VALUE!</v>
      </c>
    </row>
    <row r="264" spans="1:32" ht="21.95" customHeight="1">
      <c r="A264" s="38" t="s">
        <v>35</v>
      </c>
      <c r="B264" s="34" t="s">
        <v>35</v>
      </c>
      <c r="C264" s="35">
        <f>VLOOKUP(B264,REPORTE!$B$3:$AS$200,38,FALSE)/1000000</f>
        <v>99.377872999999994</v>
      </c>
      <c r="D264" s="35">
        <f>VLOOKUP(B264,REPORTE!$B$3:$AS$200,39,FALSE)/1000000</f>
        <v>0</v>
      </c>
      <c r="E264" s="35">
        <f>VLOOKUP(B264,REPORTE!$B$3:$AS$200,40,FALSE)/1000000</f>
        <v>0</v>
      </c>
      <c r="F264" s="35">
        <f>VLOOKUP(B264,REPORTE!$B$3:$AV$200,41,FALSE)/1000000</f>
        <v>99.377872999999994</v>
      </c>
      <c r="G264" s="35">
        <f>(VLOOKUP(B264,REPORTE!$B$3:$AV$200,42,FALSE)/1000000)</f>
        <v>0</v>
      </c>
      <c r="H264" s="35">
        <f t="shared" si="548"/>
        <v>99.377872999999994</v>
      </c>
      <c r="I264" s="35">
        <f t="shared" si="549"/>
        <v>34.785769448690196</v>
      </c>
      <c r="J264" s="36">
        <f t="shared" si="550"/>
        <v>0.3500353589645675</v>
      </c>
      <c r="K264" s="35">
        <f>VLOOKUP($B264,REPORTE!$B$3:$AV$200,44,FALSE)/1000000</f>
        <v>0</v>
      </c>
      <c r="L264" s="36">
        <f t="shared" si="551"/>
        <v>0</v>
      </c>
      <c r="M264" s="60">
        <f t="shared" si="552"/>
        <v>0</v>
      </c>
      <c r="N264" s="35">
        <f t="shared" si="553"/>
        <v>99.377872999999994</v>
      </c>
      <c r="O264" s="35">
        <f t="shared" si="554"/>
        <v>16.100708755373837</v>
      </c>
      <c r="P264" s="36">
        <f t="shared" si="555"/>
        <v>0.1620150267793902</v>
      </c>
      <c r="Q264" s="35">
        <f>VLOOKUP($B264,REPORTE!$B$3:$AV$200,46,FALSE)/1000000</f>
        <v>0</v>
      </c>
      <c r="R264" s="36">
        <f t="shared" si="556"/>
        <v>0</v>
      </c>
      <c r="S264" s="60">
        <f t="shared" si="557"/>
        <v>0</v>
      </c>
      <c r="T264" s="35">
        <f t="shared" si="558"/>
        <v>15.403570315</v>
      </c>
      <c r="U264" s="40">
        <f t="shared" si="559"/>
        <v>0.155</v>
      </c>
      <c r="V264" s="35">
        <f>VLOOKUP($B264,REPORTE!$B$3:$AV$200,47,FALSE)/1000000</f>
        <v>0</v>
      </c>
      <c r="W264" s="36">
        <f t="shared" si="560"/>
        <v>0</v>
      </c>
      <c r="X264" s="145">
        <f t="shared" si="561"/>
        <v>0</v>
      </c>
      <c r="Y264" s="41"/>
      <c r="Z264" s="35">
        <f>VLOOKUP($B264,REPORTE!$B$3:$AV$200,44,FALSE)/1000000</f>
        <v>0</v>
      </c>
      <c r="AA264" s="36">
        <f t="shared" si="562"/>
        <v>0</v>
      </c>
      <c r="AB264" s="60">
        <f t="shared" si="563"/>
        <v>0</v>
      </c>
      <c r="AC264" s="35">
        <f t="shared" si="564"/>
        <v>99.377872999999994</v>
      </c>
      <c r="AD264" s="35">
        <f>VLOOKUP($B264,REPORTE!$B$3:$AV$200,46,FALSE)/1000000</f>
        <v>0</v>
      </c>
      <c r="AE264" s="36">
        <f t="shared" si="565"/>
        <v>0</v>
      </c>
      <c r="AF264" s="127">
        <f t="shared" si="566"/>
        <v>0</v>
      </c>
    </row>
    <row r="265" spans="1:32" ht="21.95" customHeight="1">
      <c r="A265" s="38" t="s">
        <v>36</v>
      </c>
      <c r="B265" s="34" t="s">
        <v>36</v>
      </c>
      <c r="C265" s="35">
        <f>VLOOKUP(B265,REPORTE!$B$3:$AS$200,38,FALSE)/1000000</f>
        <v>538.08296199999995</v>
      </c>
      <c r="D265" s="35">
        <f>VLOOKUP(B265,REPORTE!$B$3:$AS$200,39,FALSE)/1000000</f>
        <v>0</v>
      </c>
      <c r="E265" s="35">
        <f>VLOOKUP(B265,REPORTE!$B$3:$AS$200,40,FALSE)/1000000</f>
        <v>0</v>
      </c>
      <c r="F265" s="35">
        <f>VLOOKUP(B265,REPORTE!$B$3:$AV$200,41,FALSE)/1000000</f>
        <v>538.08296199999995</v>
      </c>
      <c r="G265" s="35">
        <f>(VLOOKUP(B265,REPORTE!$B$3:$AV$200,42,FALSE)/1000000)</f>
        <v>0</v>
      </c>
      <c r="H265" s="35">
        <f t="shared" si="548"/>
        <v>538.08296199999995</v>
      </c>
      <c r="I265" s="35">
        <f t="shared" si="549"/>
        <v>188.34806275638772</v>
      </c>
      <c r="J265" s="36">
        <f t="shared" si="550"/>
        <v>0.3500353589645675</v>
      </c>
      <c r="K265" s="35">
        <f>VLOOKUP($B265,REPORTE!$B$3:$AV$200,44,FALSE)/1000000</f>
        <v>0</v>
      </c>
      <c r="L265" s="36">
        <f t="shared" si="551"/>
        <v>0</v>
      </c>
      <c r="M265" s="60">
        <f t="shared" si="552"/>
        <v>0</v>
      </c>
      <c r="N265" s="35">
        <f t="shared" si="553"/>
        <v>538.08296199999995</v>
      </c>
      <c r="O265" s="35">
        <f t="shared" si="554"/>
        <v>87.177525497963586</v>
      </c>
      <c r="P265" s="36">
        <f t="shared" si="555"/>
        <v>0.1620150267793902</v>
      </c>
      <c r="Q265" s="35">
        <f>VLOOKUP($B265,REPORTE!$B$3:$AV$200,46,FALSE)/1000000</f>
        <v>0</v>
      </c>
      <c r="R265" s="36">
        <f t="shared" si="556"/>
        <v>0</v>
      </c>
      <c r="S265" s="60">
        <f t="shared" si="557"/>
        <v>0</v>
      </c>
      <c r="T265" s="35">
        <f t="shared" si="558"/>
        <v>83.402859109999994</v>
      </c>
      <c r="U265" s="40">
        <f t="shared" si="559"/>
        <v>0.155</v>
      </c>
      <c r="V265" s="35">
        <f>VLOOKUP($B265,REPORTE!$B$3:$AV$200,47,FALSE)/1000000</f>
        <v>0</v>
      </c>
      <c r="W265" s="36">
        <f t="shared" si="560"/>
        <v>0</v>
      </c>
      <c r="X265" s="145">
        <f t="shared" si="561"/>
        <v>0</v>
      </c>
      <c r="Y265" s="41"/>
      <c r="Z265" s="35">
        <f>VLOOKUP($B265,REPORTE!$B$3:$AV$200,44,FALSE)/1000000</f>
        <v>0</v>
      </c>
      <c r="AA265" s="36">
        <f t="shared" si="562"/>
        <v>0</v>
      </c>
      <c r="AB265" s="60">
        <f t="shared" si="563"/>
        <v>0</v>
      </c>
      <c r="AC265" s="35">
        <f t="shared" si="564"/>
        <v>538.08296199999995</v>
      </c>
      <c r="AD265" s="35">
        <f>VLOOKUP($B265,REPORTE!$B$3:$AV$200,46,FALSE)/1000000</f>
        <v>0</v>
      </c>
      <c r="AE265" s="36">
        <f t="shared" si="565"/>
        <v>0</v>
      </c>
      <c r="AF265" s="127">
        <f t="shared" si="566"/>
        <v>0</v>
      </c>
    </row>
    <row r="266" spans="1:32" ht="21.95" customHeight="1">
      <c r="A266" s="38" t="s">
        <v>37</v>
      </c>
      <c r="B266" s="34" t="s">
        <v>37</v>
      </c>
      <c r="C266" s="35">
        <f>VLOOKUP(B266,REPORTE!$B$3:$AS$200,38,FALSE)/1000000</f>
        <v>732.56558600000005</v>
      </c>
      <c r="D266" s="35">
        <f>VLOOKUP(B266,REPORTE!$B$3:$AS$200,39,FALSE)/1000000</f>
        <v>0</v>
      </c>
      <c r="E266" s="35">
        <f>VLOOKUP(B266,REPORTE!$B$3:$AS$200,40,FALSE)/1000000</f>
        <v>0</v>
      </c>
      <c r="F266" s="35">
        <f>VLOOKUP(B266,REPORTE!$B$3:$AV$200,41,FALSE)/1000000</f>
        <v>732.56558600000005</v>
      </c>
      <c r="G266" s="35">
        <f>(VLOOKUP(B266,REPORTE!$B$3:$AV$200,42,FALSE)/1000000)</f>
        <v>0</v>
      </c>
      <c r="H266" s="35">
        <f t="shared" si="548"/>
        <v>732.56558600000005</v>
      </c>
      <c r="I266" s="35">
        <f t="shared" si="549"/>
        <v>256.42385786059879</v>
      </c>
      <c r="J266" s="36">
        <f t="shared" si="550"/>
        <v>0.3500353589645675</v>
      </c>
      <c r="K266" s="35">
        <f>VLOOKUP($B266,REPORTE!$B$3:$AV$200,44,FALSE)/1000000</f>
        <v>0</v>
      </c>
      <c r="L266" s="36">
        <f t="shared" si="551"/>
        <v>0</v>
      </c>
      <c r="M266" s="60">
        <f t="shared" si="552"/>
        <v>0</v>
      </c>
      <c r="N266" s="35">
        <f t="shared" si="553"/>
        <v>732.56558600000005</v>
      </c>
      <c r="O266" s="35">
        <f t="shared" si="554"/>
        <v>118.68663303344968</v>
      </c>
      <c r="P266" s="36">
        <f t="shared" si="555"/>
        <v>0.1620150267793902</v>
      </c>
      <c r="Q266" s="35">
        <f>VLOOKUP($B266,REPORTE!$B$3:$AV$200,46,FALSE)/1000000</f>
        <v>0</v>
      </c>
      <c r="R266" s="36">
        <f t="shared" si="556"/>
        <v>0</v>
      </c>
      <c r="S266" s="60">
        <f t="shared" si="557"/>
        <v>0</v>
      </c>
      <c r="T266" s="35">
        <f t="shared" si="558"/>
        <v>113.54766583000001</v>
      </c>
      <c r="U266" s="40">
        <f t="shared" si="559"/>
        <v>0.155</v>
      </c>
      <c r="V266" s="35">
        <f>VLOOKUP($B266,REPORTE!$B$3:$AV$200,47,FALSE)/1000000</f>
        <v>0</v>
      </c>
      <c r="W266" s="36">
        <f t="shared" si="560"/>
        <v>0</v>
      </c>
      <c r="X266" s="145">
        <f t="shared" si="561"/>
        <v>0</v>
      </c>
      <c r="Y266" s="41"/>
      <c r="Z266" s="35">
        <f>VLOOKUP($B266,REPORTE!$B$3:$AV$200,44,FALSE)/1000000</f>
        <v>0</v>
      </c>
      <c r="AA266" s="36">
        <f t="shared" si="562"/>
        <v>0</v>
      </c>
      <c r="AB266" s="60">
        <f t="shared" si="563"/>
        <v>0</v>
      </c>
      <c r="AC266" s="35">
        <f t="shared" si="564"/>
        <v>732.56558600000005</v>
      </c>
      <c r="AD266" s="35">
        <f>VLOOKUP($B266,REPORTE!$B$3:$AV$200,46,FALSE)/1000000</f>
        <v>0</v>
      </c>
      <c r="AE266" s="36">
        <f t="shared" si="565"/>
        <v>0</v>
      </c>
      <c r="AF266" s="127">
        <f t="shared" si="566"/>
        <v>0</v>
      </c>
    </row>
    <row r="267" spans="1:32" ht="21.95" customHeight="1">
      <c r="A267" s="38" t="s">
        <v>38</v>
      </c>
      <c r="B267" s="34" t="s">
        <v>38</v>
      </c>
      <c r="C267" s="35">
        <f>VLOOKUP(B267,REPORTE!$B$3:$AS$200,38,FALSE)/1000000</f>
        <v>516.19011</v>
      </c>
      <c r="D267" s="35">
        <f>VLOOKUP(B267,REPORTE!$B$3:$AS$200,39,FALSE)/1000000</f>
        <v>0</v>
      </c>
      <c r="E267" s="35">
        <f>VLOOKUP(B267,REPORTE!$B$3:$AS$200,40,FALSE)/1000000</f>
        <v>0</v>
      </c>
      <c r="F267" s="35">
        <f>VLOOKUP(B267,REPORTE!$B$3:$AV$200,41,FALSE)/1000000</f>
        <v>516.19011</v>
      </c>
      <c r="G267" s="35">
        <f>(VLOOKUP(B267,REPORTE!$B$3:$AV$200,42,FALSE)/1000000)</f>
        <v>0</v>
      </c>
      <c r="H267" s="35">
        <f t="shared" si="548"/>
        <v>516.19011</v>
      </c>
      <c r="I267" s="35">
        <f t="shared" si="549"/>
        <v>180.68479044780958</v>
      </c>
      <c r="J267" s="36">
        <f t="shared" si="550"/>
        <v>0.3500353589645675</v>
      </c>
      <c r="K267" s="35">
        <f>VLOOKUP($B267,REPORTE!$B$3:$AV$200,44,FALSE)/1000000</f>
        <v>0</v>
      </c>
      <c r="L267" s="36">
        <f t="shared" si="551"/>
        <v>0</v>
      </c>
      <c r="M267" s="60">
        <f t="shared" si="552"/>
        <v>0</v>
      </c>
      <c r="N267" s="35">
        <f t="shared" si="553"/>
        <v>516.19011</v>
      </c>
      <c r="O267" s="35">
        <f t="shared" si="554"/>
        <v>83.630554494906377</v>
      </c>
      <c r="P267" s="36">
        <f t="shared" si="555"/>
        <v>0.1620150267793902</v>
      </c>
      <c r="Q267" s="35">
        <f>VLOOKUP($B267,REPORTE!$B$3:$AV$200,46,FALSE)/1000000</f>
        <v>0</v>
      </c>
      <c r="R267" s="36">
        <f t="shared" si="556"/>
        <v>0</v>
      </c>
      <c r="S267" s="60">
        <f t="shared" si="557"/>
        <v>0</v>
      </c>
      <c r="T267" s="35">
        <f t="shared" si="558"/>
        <v>80.009467049999998</v>
      </c>
      <c r="U267" s="40">
        <f t="shared" si="559"/>
        <v>0.155</v>
      </c>
      <c r="V267" s="35">
        <f>VLOOKUP($B267,REPORTE!$B$3:$AV$200,47,FALSE)/1000000</f>
        <v>0</v>
      </c>
      <c r="W267" s="36">
        <f t="shared" si="560"/>
        <v>0</v>
      </c>
      <c r="X267" s="145">
        <f t="shared" si="561"/>
        <v>0</v>
      </c>
      <c r="Y267" s="41"/>
      <c r="Z267" s="35">
        <f>VLOOKUP($B267,REPORTE!$B$3:$AV$200,44,FALSE)/1000000</f>
        <v>0</v>
      </c>
      <c r="AA267" s="36">
        <f t="shared" si="562"/>
        <v>0</v>
      </c>
      <c r="AB267" s="60">
        <f t="shared" si="563"/>
        <v>0</v>
      </c>
      <c r="AC267" s="35">
        <f t="shared" si="564"/>
        <v>516.19011</v>
      </c>
      <c r="AD267" s="35">
        <f>VLOOKUP($B267,REPORTE!$B$3:$AV$200,46,FALSE)/1000000</f>
        <v>0</v>
      </c>
      <c r="AE267" s="36">
        <f t="shared" si="565"/>
        <v>0</v>
      </c>
      <c r="AF267" s="127">
        <f t="shared" si="566"/>
        <v>0</v>
      </c>
    </row>
    <row r="268" spans="1:32" ht="21.95" customHeight="1">
      <c r="A268" s="38" t="s">
        <v>39</v>
      </c>
      <c r="B268" s="34" t="s">
        <v>39</v>
      </c>
      <c r="C268" s="35">
        <f>VLOOKUP(B268,REPORTE!$B$3:$AS$200,38,FALSE)/1000000</f>
        <v>283.70557600000001</v>
      </c>
      <c r="D268" s="35">
        <f>VLOOKUP(B268,REPORTE!$B$3:$AS$200,39,FALSE)/1000000</f>
        <v>0</v>
      </c>
      <c r="E268" s="35">
        <f>VLOOKUP(B268,REPORTE!$B$3:$AS$200,40,FALSE)/1000000</f>
        <v>0</v>
      </c>
      <c r="F268" s="35">
        <f>VLOOKUP(B268,REPORTE!$B$3:$AV$200,41,FALSE)/1000000</f>
        <v>283.70557600000001</v>
      </c>
      <c r="G268" s="35">
        <f>(VLOOKUP(B268,REPORTE!$B$3:$AV$200,42,FALSE)/1000000)</f>
        <v>0</v>
      </c>
      <c r="H268" s="35">
        <f t="shared" si="548"/>
        <v>283.70557600000001</v>
      </c>
      <c r="I268" s="35">
        <f t="shared" si="549"/>
        <v>99.306983135409382</v>
      </c>
      <c r="J268" s="36">
        <f t="shared" si="550"/>
        <v>0.3500353589645675</v>
      </c>
      <c r="K268" s="35">
        <f>VLOOKUP($B268,REPORTE!$B$3:$AV$200,44,FALSE)/1000000</f>
        <v>0</v>
      </c>
      <c r="L268" s="36">
        <f t="shared" si="551"/>
        <v>0</v>
      </c>
      <c r="M268" s="60">
        <f t="shared" si="552"/>
        <v>0</v>
      </c>
      <c r="N268" s="35">
        <f t="shared" si="553"/>
        <v>283.70557600000001</v>
      </c>
      <c r="O268" s="35">
        <f t="shared" si="554"/>
        <v>45.964566493102325</v>
      </c>
      <c r="P268" s="36">
        <f t="shared" si="555"/>
        <v>0.1620150267793902</v>
      </c>
      <c r="Q268" s="35">
        <f>VLOOKUP($B268,REPORTE!$B$3:$AV$200,46,FALSE)/1000000</f>
        <v>0</v>
      </c>
      <c r="R268" s="36">
        <f t="shared" si="556"/>
        <v>0</v>
      </c>
      <c r="S268" s="60">
        <f t="shared" si="557"/>
        <v>0</v>
      </c>
      <c r="T268" s="35">
        <f t="shared" si="558"/>
        <v>43.974364280000003</v>
      </c>
      <c r="U268" s="40">
        <f t="shared" si="559"/>
        <v>0.155</v>
      </c>
      <c r="V268" s="35">
        <f>VLOOKUP($B268,REPORTE!$B$3:$AV$200,47,FALSE)/1000000</f>
        <v>0</v>
      </c>
      <c r="W268" s="36">
        <f t="shared" si="560"/>
        <v>0</v>
      </c>
      <c r="X268" s="145">
        <f t="shared" si="561"/>
        <v>0</v>
      </c>
      <c r="Y268" s="41"/>
      <c r="Z268" s="35">
        <f>VLOOKUP($B268,REPORTE!$B$3:$AV$200,44,FALSE)/1000000</f>
        <v>0</v>
      </c>
      <c r="AA268" s="36">
        <f t="shared" si="562"/>
        <v>0</v>
      </c>
      <c r="AB268" s="60">
        <f t="shared" si="563"/>
        <v>0</v>
      </c>
      <c r="AC268" s="35">
        <f t="shared" si="564"/>
        <v>283.70557600000001</v>
      </c>
      <c r="AD268" s="35">
        <f>VLOOKUP($B268,REPORTE!$B$3:$AV$200,46,FALSE)/1000000</f>
        <v>0</v>
      </c>
      <c r="AE268" s="36">
        <f t="shared" si="565"/>
        <v>0</v>
      </c>
      <c r="AF268" s="127">
        <f t="shared" si="566"/>
        <v>0</v>
      </c>
    </row>
    <row r="269" spans="1:32" ht="21.95" customHeight="1">
      <c r="A269" s="38" t="s">
        <v>40</v>
      </c>
      <c r="B269" s="34" t="s">
        <v>40</v>
      </c>
      <c r="C269" s="35">
        <f>VLOOKUP(B269,REPORTE!$B$3:$AS$200,38,FALSE)/1000000</f>
        <v>2648.7640879999999</v>
      </c>
      <c r="D269" s="35">
        <f>VLOOKUP(B269,REPORTE!$B$3:$AS$200,39,FALSE)/1000000</f>
        <v>0</v>
      </c>
      <c r="E269" s="35">
        <f>VLOOKUP(B269,REPORTE!$B$3:$AS$200,40,FALSE)/1000000</f>
        <v>0</v>
      </c>
      <c r="F269" s="35">
        <f>VLOOKUP(B269,REPORTE!$B$3:$AV$200,41,FALSE)/1000000</f>
        <v>2648.7640879999999</v>
      </c>
      <c r="G269" s="35">
        <f>(VLOOKUP(B269,REPORTE!$B$3:$AV$200,42,FALSE)/1000000)</f>
        <v>0</v>
      </c>
      <c r="H269" s="35">
        <f t="shared" si="548"/>
        <v>2648.7640879999999</v>
      </c>
      <c r="I269" s="35">
        <f t="shared" si="549"/>
        <v>927.16108835553518</v>
      </c>
      <c r="J269" s="36">
        <f t="shared" si="550"/>
        <v>0.3500353589645675</v>
      </c>
      <c r="K269" s="35">
        <f>VLOOKUP($B269,REPORTE!$B$3:$AV$200,44,FALSE)/1000000</f>
        <v>0</v>
      </c>
      <c r="L269" s="36">
        <f t="shared" si="551"/>
        <v>0</v>
      </c>
      <c r="M269" s="60">
        <f t="shared" si="552"/>
        <v>0</v>
      </c>
      <c r="N269" s="35">
        <f t="shared" si="553"/>
        <v>2648.7640879999999</v>
      </c>
      <c r="O269" s="35">
        <f t="shared" si="554"/>
        <v>429.13958464960706</v>
      </c>
      <c r="P269" s="36">
        <f t="shared" si="555"/>
        <v>0.1620150267793902</v>
      </c>
      <c r="Q269" s="35">
        <f>VLOOKUP($B269,REPORTE!$B$3:$AV$200,46,FALSE)/1000000</f>
        <v>0</v>
      </c>
      <c r="R269" s="36">
        <f t="shared" si="556"/>
        <v>0</v>
      </c>
      <c r="S269" s="60">
        <f t="shared" si="557"/>
        <v>0</v>
      </c>
      <c r="T269" s="35">
        <f t="shared" si="558"/>
        <v>410.55843363999998</v>
      </c>
      <c r="U269" s="40">
        <f t="shared" si="559"/>
        <v>0.155</v>
      </c>
      <c r="V269" s="35">
        <f>VLOOKUP($B269,REPORTE!$B$3:$AV$200,47,FALSE)/1000000</f>
        <v>0</v>
      </c>
      <c r="W269" s="36">
        <f t="shared" si="560"/>
        <v>0</v>
      </c>
      <c r="X269" s="145">
        <f t="shared" si="561"/>
        <v>0</v>
      </c>
      <c r="Y269" s="41"/>
      <c r="Z269" s="35">
        <f>VLOOKUP($B269,REPORTE!$B$3:$AV$200,44,FALSE)/1000000</f>
        <v>0</v>
      </c>
      <c r="AA269" s="36">
        <f t="shared" si="562"/>
        <v>0</v>
      </c>
      <c r="AB269" s="60">
        <f t="shared" si="563"/>
        <v>0</v>
      </c>
      <c r="AC269" s="35">
        <f t="shared" si="564"/>
        <v>2648.7640879999999</v>
      </c>
      <c r="AD269" s="35">
        <f>VLOOKUP($B269,REPORTE!$B$3:$AV$200,46,FALSE)/1000000</f>
        <v>0</v>
      </c>
      <c r="AE269" s="36">
        <f t="shared" si="565"/>
        <v>0</v>
      </c>
      <c r="AF269" s="127">
        <f t="shared" si="566"/>
        <v>0</v>
      </c>
    </row>
    <row r="270" spans="1:32" ht="21.95" hidden="1" customHeight="1">
      <c r="A270" s="38" t="s">
        <v>41</v>
      </c>
      <c r="B270" s="34" t="s">
        <v>41</v>
      </c>
      <c r="C270" s="35">
        <f>VLOOKUP(B270,REPORTE!$B$3:$AS$200,38,FALSE)/1000000</f>
        <v>0</v>
      </c>
      <c r="D270" s="35">
        <f>VLOOKUP(B270,REPORTE!$B$3:$AS$200,39,FALSE)/1000000</f>
        <v>0</v>
      </c>
      <c r="E270" s="35">
        <f>VLOOKUP(B270,REPORTE!$B$3:$AS$200,40,FALSE)/1000000</f>
        <v>0</v>
      </c>
      <c r="F270" s="35">
        <f>VLOOKUP(B270,REPORTE!$B$3:$AV$200,41,FALSE)/1000000</f>
        <v>0</v>
      </c>
      <c r="G270" s="35">
        <f>(VLOOKUP(B270,REPORTE!$B$3:$AV$200,42,FALSE)/1000000)</f>
        <v>0</v>
      </c>
      <c r="H270" s="35">
        <f t="shared" si="548"/>
        <v>0</v>
      </c>
      <c r="I270" s="35">
        <f t="shared" si="549"/>
        <v>0</v>
      </c>
      <c r="J270" s="36">
        <f t="shared" si="550"/>
        <v>0.3500353589645675</v>
      </c>
      <c r="K270" s="35">
        <f>VLOOKUP($B270,REPORTE!$B$3:$AV$200,44,FALSE)/1000000</f>
        <v>0</v>
      </c>
      <c r="L270" s="36" t="str">
        <f t="shared" si="551"/>
        <v/>
      </c>
      <c r="M270" s="60" t="e">
        <f t="shared" si="552"/>
        <v>#VALUE!</v>
      </c>
      <c r="N270" s="35">
        <f t="shared" si="553"/>
        <v>0</v>
      </c>
      <c r="O270" s="35">
        <f t="shared" si="554"/>
        <v>0</v>
      </c>
      <c r="P270" s="36">
        <f t="shared" si="555"/>
        <v>0.1620150267793902</v>
      </c>
      <c r="Q270" s="35">
        <f>VLOOKUP($B270,REPORTE!$B$3:$AV$200,46,FALSE)/1000000</f>
        <v>0</v>
      </c>
      <c r="R270" s="36" t="str">
        <f t="shared" si="556"/>
        <v/>
      </c>
      <c r="S270" s="60" t="e">
        <f t="shared" si="557"/>
        <v>#VALUE!</v>
      </c>
      <c r="T270" s="35">
        <f t="shared" si="558"/>
        <v>0</v>
      </c>
      <c r="U270" s="40">
        <f t="shared" si="559"/>
        <v>0.155</v>
      </c>
      <c r="V270" s="35">
        <f>VLOOKUP($B270,REPORTE!$B$3:$AV$200,47,FALSE)/1000000</f>
        <v>0</v>
      </c>
      <c r="W270" s="36" t="str">
        <f t="shared" si="560"/>
        <v/>
      </c>
      <c r="X270" s="145" t="e">
        <f t="shared" si="561"/>
        <v>#VALUE!</v>
      </c>
      <c r="Y270" s="41"/>
      <c r="Z270" s="35">
        <f>VLOOKUP($B270,REPORTE!$B$3:$AV$200,44,FALSE)/1000000</f>
        <v>0</v>
      </c>
      <c r="AA270" s="36" t="str">
        <f t="shared" si="562"/>
        <v/>
      </c>
      <c r="AB270" s="60" t="e">
        <f t="shared" si="563"/>
        <v>#VALUE!</v>
      </c>
      <c r="AC270" s="35">
        <f t="shared" si="564"/>
        <v>0</v>
      </c>
      <c r="AD270" s="35">
        <f>VLOOKUP($B270,REPORTE!$B$3:$AV$200,46,FALSE)/1000000</f>
        <v>0</v>
      </c>
      <c r="AE270" s="36" t="str">
        <f t="shared" si="565"/>
        <v/>
      </c>
      <c r="AF270" s="127" t="e">
        <f t="shared" si="566"/>
        <v>#VALUE!</v>
      </c>
    </row>
    <row r="271" spans="1:32" ht="21.95" hidden="1" customHeight="1">
      <c r="A271" s="38" t="s">
        <v>42</v>
      </c>
      <c r="B271" s="34" t="s">
        <v>42</v>
      </c>
      <c r="C271" s="35">
        <f>VLOOKUP(B271,REPORTE!$B$3:$AS$200,38,FALSE)/1000000</f>
        <v>0</v>
      </c>
      <c r="D271" s="35">
        <f>VLOOKUP(B271,REPORTE!$B$3:$AS$200,39,FALSE)/1000000</f>
        <v>0</v>
      </c>
      <c r="E271" s="35">
        <f>VLOOKUP(B271,REPORTE!$B$3:$AS$200,40,FALSE)/1000000</f>
        <v>0</v>
      </c>
      <c r="F271" s="35">
        <f>VLOOKUP(B271,REPORTE!$B$3:$AV$200,41,FALSE)/1000000</f>
        <v>0</v>
      </c>
      <c r="G271" s="35">
        <f>(VLOOKUP(B271,REPORTE!$B$3:$AV$200,42,FALSE)/1000000)</f>
        <v>0</v>
      </c>
      <c r="H271" s="35">
        <f t="shared" si="548"/>
        <v>0</v>
      </c>
      <c r="I271" s="35">
        <f t="shared" si="549"/>
        <v>0</v>
      </c>
      <c r="J271" s="36">
        <f t="shared" si="550"/>
        <v>0.3500353589645675</v>
      </c>
      <c r="K271" s="35">
        <f>VLOOKUP($B271,REPORTE!$B$3:$AV$200,44,FALSE)/1000000</f>
        <v>0</v>
      </c>
      <c r="L271" s="36" t="str">
        <f t="shared" si="551"/>
        <v/>
      </c>
      <c r="M271" s="60" t="e">
        <f t="shared" si="552"/>
        <v>#VALUE!</v>
      </c>
      <c r="N271" s="35">
        <f t="shared" si="553"/>
        <v>0</v>
      </c>
      <c r="O271" s="35">
        <f t="shared" si="554"/>
        <v>0</v>
      </c>
      <c r="P271" s="36">
        <f t="shared" si="555"/>
        <v>0.1620150267793902</v>
      </c>
      <c r="Q271" s="35">
        <f>VLOOKUP($B271,REPORTE!$B$3:$AV$200,46,FALSE)/1000000</f>
        <v>0</v>
      </c>
      <c r="R271" s="36" t="str">
        <f t="shared" si="556"/>
        <v/>
      </c>
      <c r="S271" s="60" t="e">
        <f t="shared" si="557"/>
        <v>#VALUE!</v>
      </c>
      <c r="T271" s="35">
        <f t="shared" si="558"/>
        <v>0</v>
      </c>
      <c r="U271" s="40">
        <f t="shared" si="559"/>
        <v>0.155</v>
      </c>
      <c r="V271" s="35">
        <f>VLOOKUP($B271,REPORTE!$B$3:$AV$200,47,FALSE)/1000000</f>
        <v>0</v>
      </c>
      <c r="W271" s="36" t="str">
        <f t="shared" si="560"/>
        <v/>
      </c>
      <c r="X271" s="145" t="e">
        <f t="shared" si="561"/>
        <v>#VALUE!</v>
      </c>
      <c r="Y271" s="41"/>
      <c r="Z271" s="35">
        <f>VLOOKUP($B271,REPORTE!$B$3:$AV$200,44,FALSE)/1000000</f>
        <v>0</v>
      </c>
      <c r="AA271" s="36" t="str">
        <f t="shared" si="562"/>
        <v/>
      </c>
      <c r="AB271" s="60" t="e">
        <f t="shared" si="563"/>
        <v>#VALUE!</v>
      </c>
      <c r="AC271" s="35">
        <f t="shared" si="564"/>
        <v>0</v>
      </c>
      <c r="AD271" s="35">
        <f>VLOOKUP($B271,REPORTE!$B$3:$AV$200,46,FALSE)/1000000</f>
        <v>0</v>
      </c>
      <c r="AE271" s="36" t="str">
        <f t="shared" si="565"/>
        <v/>
      </c>
      <c r="AF271" s="127" t="e">
        <f t="shared" si="566"/>
        <v>#VALUE!</v>
      </c>
    </row>
    <row r="272" spans="1:32" ht="21.95" hidden="1" customHeight="1">
      <c r="A272" s="38" t="s">
        <v>43</v>
      </c>
      <c r="B272" s="34" t="s">
        <v>43</v>
      </c>
      <c r="C272" s="35">
        <f>VLOOKUP(B272,REPORTE!$B$3:$AS$200,38,FALSE)/1000000</f>
        <v>0</v>
      </c>
      <c r="D272" s="35">
        <f>VLOOKUP(B272,REPORTE!$B$3:$AS$200,39,FALSE)/1000000</f>
        <v>0</v>
      </c>
      <c r="E272" s="35">
        <f>VLOOKUP(B272,REPORTE!$B$3:$AS$200,40,FALSE)/1000000</f>
        <v>0</v>
      </c>
      <c r="F272" s="35">
        <f>VLOOKUP(B272,REPORTE!$B$3:$AV$200,41,FALSE)/1000000</f>
        <v>0</v>
      </c>
      <c r="G272" s="35">
        <f>(VLOOKUP(B272,REPORTE!$B$3:$AV$200,42,FALSE)/1000000)</f>
        <v>0</v>
      </c>
      <c r="H272" s="35">
        <f t="shared" si="548"/>
        <v>0</v>
      </c>
      <c r="I272" s="35">
        <f t="shared" si="549"/>
        <v>0</v>
      </c>
      <c r="J272" s="36">
        <f t="shared" si="550"/>
        <v>0.3500353589645675</v>
      </c>
      <c r="K272" s="35">
        <f>VLOOKUP($B272,REPORTE!$B$3:$AV$200,44,FALSE)/1000000</f>
        <v>0</v>
      </c>
      <c r="L272" s="36" t="str">
        <f t="shared" si="551"/>
        <v/>
      </c>
      <c r="M272" s="60" t="e">
        <f t="shared" si="552"/>
        <v>#VALUE!</v>
      </c>
      <c r="N272" s="35">
        <f t="shared" si="553"/>
        <v>0</v>
      </c>
      <c r="O272" s="35">
        <f t="shared" si="554"/>
        <v>0</v>
      </c>
      <c r="P272" s="36">
        <f t="shared" si="555"/>
        <v>0.1620150267793902</v>
      </c>
      <c r="Q272" s="35">
        <f>VLOOKUP($B272,REPORTE!$B$3:$AV$200,46,FALSE)/1000000</f>
        <v>0</v>
      </c>
      <c r="R272" s="36" t="str">
        <f t="shared" si="556"/>
        <v/>
      </c>
      <c r="S272" s="60" t="e">
        <f t="shared" si="557"/>
        <v>#VALUE!</v>
      </c>
      <c r="T272" s="35">
        <f t="shared" si="558"/>
        <v>0</v>
      </c>
      <c r="U272" s="40">
        <f t="shared" si="559"/>
        <v>0.155</v>
      </c>
      <c r="V272" s="35">
        <f>VLOOKUP($B272,REPORTE!$B$3:$AV$200,47,FALSE)/1000000</f>
        <v>0</v>
      </c>
      <c r="W272" s="36" t="str">
        <f t="shared" si="560"/>
        <v/>
      </c>
      <c r="X272" s="145" t="e">
        <f t="shared" si="561"/>
        <v>#VALUE!</v>
      </c>
      <c r="Y272" s="41"/>
      <c r="Z272" s="35">
        <f>VLOOKUP($B272,REPORTE!$B$3:$AV$200,44,FALSE)/1000000</f>
        <v>0</v>
      </c>
      <c r="AA272" s="36" t="str">
        <f t="shared" si="562"/>
        <v/>
      </c>
      <c r="AB272" s="60" t="e">
        <f t="shared" si="563"/>
        <v>#VALUE!</v>
      </c>
      <c r="AC272" s="35">
        <f t="shared" si="564"/>
        <v>0</v>
      </c>
      <c r="AD272" s="35">
        <f>VLOOKUP($B272,REPORTE!$B$3:$AV$200,46,FALSE)/1000000</f>
        <v>0</v>
      </c>
      <c r="AE272" s="36" t="str">
        <f t="shared" si="565"/>
        <v/>
      </c>
      <c r="AF272" s="127" t="e">
        <f t="shared" si="566"/>
        <v>#VALUE!</v>
      </c>
    </row>
    <row r="273" spans="1:32" ht="21.95" hidden="1" customHeight="1">
      <c r="A273" s="38" t="s">
        <v>44</v>
      </c>
      <c r="B273" s="34" t="s">
        <v>44</v>
      </c>
      <c r="C273" s="35">
        <f>VLOOKUP(B273,REPORTE!$B$3:$AS$200,38,FALSE)/1000000</f>
        <v>38.034986000000004</v>
      </c>
      <c r="D273" s="35">
        <f>VLOOKUP(B273,REPORTE!$B$3:$AS$200,39,FALSE)/1000000</f>
        <v>0</v>
      </c>
      <c r="E273" s="35">
        <f>VLOOKUP(B273,REPORTE!$B$3:$AS$200,40,FALSE)/1000000</f>
        <v>0</v>
      </c>
      <c r="F273" s="35">
        <f>VLOOKUP(B273,REPORTE!$B$3:$AV$200,41,FALSE)/1000000</f>
        <v>38.034986000000004</v>
      </c>
      <c r="G273" s="35">
        <f>(VLOOKUP(B273,REPORTE!$B$3:$AV$200,42,FALSE)/1000000)</f>
        <v>0</v>
      </c>
      <c r="H273" s="35">
        <f t="shared" si="548"/>
        <v>38.034986000000004</v>
      </c>
      <c r="I273" s="35">
        <f t="shared" si="549"/>
        <v>13.3135899777223</v>
      </c>
      <c r="J273" s="36">
        <f t="shared" si="550"/>
        <v>0.3500353589645675</v>
      </c>
      <c r="K273" s="35">
        <f>VLOOKUP($B273,REPORTE!$B$3:$AV$200,44,FALSE)/1000000</f>
        <v>0</v>
      </c>
      <c r="L273" s="36">
        <f t="shared" si="551"/>
        <v>0</v>
      </c>
      <c r="M273" s="60">
        <f t="shared" si="552"/>
        <v>0</v>
      </c>
      <c r="N273" s="35">
        <f t="shared" si="553"/>
        <v>38.034986000000004</v>
      </c>
      <c r="O273" s="35">
        <f t="shared" si="554"/>
        <v>6.1622392753437314</v>
      </c>
      <c r="P273" s="36">
        <f t="shared" si="555"/>
        <v>0.1620150267793902</v>
      </c>
      <c r="Q273" s="35">
        <f>VLOOKUP($B273,REPORTE!$B$3:$AV$200,46,FALSE)/1000000</f>
        <v>0</v>
      </c>
      <c r="R273" s="36">
        <f t="shared" si="556"/>
        <v>0</v>
      </c>
      <c r="S273" s="60">
        <f t="shared" si="557"/>
        <v>0</v>
      </c>
      <c r="T273" s="35">
        <f t="shared" si="558"/>
        <v>5.8954228300000002</v>
      </c>
      <c r="U273" s="40">
        <f t="shared" si="559"/>
        <v>0.155</v>
      </c>
      <c r="V273" s="35">
        <f>VLOOKUP($B273,REPORTE!$B$3:$AV$200,47,FALSE)/1000000</f>
        <v>0</v>
      </c>
      <c r="W273" s="36">
        <f t="shared" si="560"/>
        <v>0</v>
      </c>
      <c r="X273" s="145">
        <f t="shared" si="561"/>
        <v>0</v>
      </c>
      <c r="Y273" s="41"/>
      <c r="Z273" s="35">
        <f>VLOOKUP($B273,REPORTE!$B$3:$AV$200,44,FALSE)/1000000</f>
        <v>0</v>
      </c>
      <c r="AA273" s="36">
        <f t="shared" si="562"/>
        <v>0</v>
      </c>
      <c r="AB273" s="60">
        <f t="shared" si="563"/>
        <v>0</v>
      </c>
      <c r="AC273" s="35">
        <f t="shared" si="564"/>
        <v>38.034986000000004</v>
      </c>
      <c r="AD273" s="35">
        <f>VLOOKUP($B273,REPORTE!$B$3:$AV$200,46,FALSE)/1000000</f>
        <v>0</v>
      </c>
      <c r="AE273" s="36">
        <f t="shared" si="565"/>
        <v>0</v>
      </c>
      <c r="AF273" s="127">
        <f t="shared" si="566"/>
        <v>0</v>
      </c>
    </row>
    <row r="274" spans="1:32" ht="21.95" customHeight="1">
      <c r="A274" s="38" t="s">
        <v>45</v>
      </c>
      <c r="B274" s="34" t="s">
        <v>45</v>
      </c>
      <c r="C274" s="35">
        <f>VLOOKUP(B274,REPORTE!$B$3:$AS$200,38,FALSE)/1000000</f>
        <v>107.621743</v>
      </c>
      <c r="D274" s="35">
        <f>VLOOKUP(B274,REPORTE!$B$3:$AS$200,39,FALSE)/1000000</f>
        <v>0</v>
      </c>
      <c r="E274" s="35">
        <f>VLOOKUP(B274,REPORTE!$B$3:$AS$200,40,FALSE)/1000000</f>
        <v>0</v>
      </c>
      <c r="F274" s="35">
        <f>VLOOKUP(B274,REPORTE!$B$3:$AV$200,41,FALSE)/1000000</f>
        <v>107.621743</v>
      </c>
      <c r="G274" s="35">
        <f>(VLOOKUP(B274,REPORTE!$B$3:$AV$200,42,FALSE)/1000000)</f>
        <v>0</v>
      </c>
      <c r="H274" s="35">
        <f t="shared" si="548"/>
        <v>107.621743</v>
      </c>
      <c r="I274" s="35">
        <f t="shared" si="549"/>
        <v>37.671415443397429</v>
      </c>
      <c r="J274" s="36">
        <f t="shared" si="550"/>
        <v>0.3500353589645675</v>
      </c>
      <c r="K274" s="35">
        <f>VLOOKUP($B274,REPORTE!$B$3:$AV$200,44,FALSE)/1000000</f>
        <v>0</v>
      </c>
      <c r="L274" s="36">
        <f t="shared" si="551"/>
        <v>0</v>
      </c>
      <c r="M274" s="60">
        <f t="shared" si="552"/>
        <v>0</v>
      </c>
      <c r="N274" s="35">
        <f t="shared" si="553"/>
        <v>107.621743</v>
      </c>
      <c r="O274" s="35">
        <f t="shared" si="554"/>
        <v>17.436339574189649</v>
      </c>
      <c r="P274" s="36">
        <f t="shared" si="555"/>
        <v>0.1620150267793902</v>
      </c>
      <c r="Q274" s="35">
        <f>VLOOKUP($B274,REPORTE!$B$3:$AV$200,46,FALSE)/1000000</f>
        <v>0</v>
      </c>
      <c r="R274" s="36">
        <f t="shared" si="556"/>
        <v>0</v>
      </c>
      <c r="S274" s="60">
        <f t="shared" si="557"/>
        <v>0</v>
      </c>
      <c r="T274" s="35">
        <f t="shared" si="558"/>
        <v>16.681370165000001</v>
      </c>
      <c r="U274" s="40">
        <f t="shared" si="559"/>
        <v>0.155</v>
      </c>
      <c r="V274" s="35">
        <f>VLOOKUP($B274,REPORTE!$B$3:$AV$200,47,FALSE)/1000000</f>
        <v>0</v>
      </c>
      <c r="W274" s="36">
        <f t="shared" si="560"/>
        <v>0</v>
      </c>
      <c r="X274" s="145">
        <f t="shared" si="561"/>
        <v>0</v>
      </c>
      <c r="Y274" s="41"/>
      <c r="Z274" s="35">
        <f>VLOOKUP($B274,REPORTE!$B$3:$AV$200,44,FALSE)/1000000</f>
        <v>0</v>
      </c>
      <c r="AA274" s="36">
        <f t="shared" si="562"/>
        <v>0</v>
      </c>
      <c r="AB274" s="60">
        <f t="shared" si="563"/>
        <v>0</v>
      </c>
      <c r="AC274" s="35">
        <f t="shared" si="564"/>
        <v>107.621743</v>
      </c>
      <c r="AD274" s="35">
        <f>VLOOKUP($B274,REPORTE!$B$3:$AV$200,46,FALSE)/1000000</f>
        <v>0</v>
      </c>
      <c r="AE274" s="36">
        <f t="shared" si="565"/>
        <v>0</v>
      </c>
      <c r="AF274" s="127">
        <f t="shared" si="566"/>
        <v>0</v>
      </c>
    </row>
    <row r="275" spans="1:32" ht="21.95" customHeight="1">
      <c r="A275" s="38" t="s">
        <v>46</v>
      </c>
      <c r="B275" s="34" t="s">
        <v>46</v>
      </c>
      <c r="C275" s="35">
        <f>VLOOKUP(B275,REPORTE!$B$3:$AS$200,38,FALSE)/1000000</f>
        <v>1210.94894</v>
      </c>
      <c r="D275" s="35">
        <f>VLOOKUP(B275,REPORTE!$B$3:$AS$200,39,FALSE)/1000000</f>
        <v>0</v>
      </c>
      <c r="E275" s="35">
        <f>VLOOKUP(B275,REPORTE!$B$3:$AS$200,40,FALSE)/1000000</f>
        <v>0</v>
      </c>
      <c r="F275" s="35">
        <f>VLOOKUP(B275,REPORTE!$B$3:$AV$200,41,FALSE)/1000000</f>
        <v>1210.94894</v>
      </c>
      <c r="G275" s="35">
        <f>(VLOOKUP(B275,REPORTE!$B$3:$AV$200,42,FALSE)/1000000)</f>
        <v>0</v>
      </c>
      <c r="H275" s="35">
        <f t="shared" si="548"/>
        <v>1210.94894</v>
      </c>
      <c r="I275" s="35">
        <f t="shared" si="549"/>
        <v>423.87494690066251</v>
      </c>
      <c r="J275" s="36">
        <f t="shared" si="550"/>
        <v>0.3500353589645675</v>
      </c>
      <c r="K275" s="35">
        <f>VLOOKUP($B275,REPORTE!$B$3:$AV$200,44,FALSE)/1000000</f>
        <v>0</v>
      </c>
      <c r="L275" s="36">
        <f t="shared" si="551"/>
        <v>0</v>
      </c>
      <c r="M275" s="60">
        <f t="shared" si="552"/>
        <v>0</v>
      </c>
      <c r="N275" s="35">
        <f t="shared" si="553"/>
        <v>1210.94894</v>
      </c>
      <c r="O275" s="35">
        <f t="shared" si="554"/>
        <v>196.19192494257416</v>
      </c>
      <c r="P275" s="36">
        <f t="shared" si="555"/>
        <v>0.1620150267793902</v>
      </c>
      <c r="Q275" s="35">
        <f>VLOOKUP($B275,REPORTE!$B$3:$AV$200,46,FALSE)/1000000</f>
        <v>0</v>
      </c>
      <c r="R275" s="36">
        <f t="shared" si="556"/>
        <v>0</v>
      </c>
      <c r="S275" s="60">
        <f t="shared" si="557"/>
        <v>0</v>
      </c>
      <c r="T275" s="35">
        <f t="shared" si="558"/>
        <v>187.6970857</v>
      </c>
      <c r="U275" s="40">
        <f t="shared" si="559"/>
        <v>0.155</v>
      </c>
      <c r="V275" s="35">
        <f>VLOOKUP($B275,REPORTE!$B$3:$AV$200,47,FALSE)/1000000</f>
        <v>0</v>
      </c>
      <c r="W275" s="36">
        <f t="shared" si="560"/>
        <v>0</v>
      </c>
      <c r="X275" s="145">
        <f t="shared" si="561"/>
        <v>0</v>
      </c>
      <c r="Y275" s="41"/>
      <c r="Z275" s="35">
        <f>VLOOKUP($B275,REPORTE!$B$3:$AV$200,44,FALSE)/1000000</f>
        <v>0</v>
      </c>
      <c r="AA275" s="36">
        <f t="shared" si="562"/>
        <v>0</v>
      </c>
      <c r="AB275" s="60">
        <f t="shared" si="563"/>
        <v>0</v>
      </c>
      <c r="AC275" s="35">
        <f t="shared" si="564"/>
        <v>1210.94894</v>
      </c>
      <c r="AD275" s="35">
        <f>VLOOKUP($B275,REPORTE!$B$3:$AV$200,46,FALSE)/1000000</f>
        <v>0</v>
      </c>
      <c r="AE275" s="36">
        <f t="shared" si="565"/>
        <v>0</v>
      </c>
      <c r="AF275" s="127">
        <f t="shared" si="566"/>
        <v>0</v>
      </c>
    </row>
    <row r="276" spans="1:32" ht="21.95" hidden="1" customHeight="1">
      <c r="A276" s="38" t="s">
        <v>47</v>
      </c>
      <c r="B276" s="34" t="s">
        <v>47</v>
      </c>
      <c r="C276" s="35">
        <f>VLOOKUP(B276,REPORTE!$B$3:$AS$200,38,FALSE)/1000000</f>
        <v>0</v>
      </c>
      <c r="D276" s="35">
        <f>VLOOKUP(B276,REPORTE!$B$3:$AS$200,39,FALSE)/1000000</f>
        <v>0</v>
      </c>
      <c r="E276" s="35">
        <f>VLOOKUP(B276,REPORTE!$B$3:$AS$200,40,FALSE)/1000000</f>
        <v>0</v>
      </c>
      <c r="F276" s="35">
        <f>VLOOKUP(B276,REPORTE!$B$3:$AV$200,41,FALSE)/1000000</f>
        <v>0</v>
      </c>
      <c r="G276" s="35">
        <f>(VLOOKUP(B276,REPORTE!$B$3:$AV$200,42,FALSE)/1000000)</f>
        <v>0</v>
      </c>
      <c r="H276" s="35">
        <f t="shared" si="548"/>
        <v>0</v>
      </c>
      <c r="I276" s="35">
        <f t="shared" si="549"/>
        <v>0</v>
      </c>
      <c r="J276" s="36">
        <f t="shared" si="550"/>
        <v>0.3500353589645675</v>
      </c>
      <c r="K276" s="35">
        <f>VLOOKUP($B276,REPORTE!$B$3:$AV$200,44,FALSE)/1000000</f>
        <v>0</v>
      </c>
      <c r="L276" s="36" t="str">
        <f t="shared" si="551"/>
        <v/>
      </c>
      <c r="M276" s="60" t="e">
        <f t="shared" si="552"/>
        <v>#VALUE!</v>
      </c>
      <c r="N276" s="35">
        <f t="shared" si="553"/>
        <v>0</v>
      </c>
      <c r="O276" s="35">
        <f t="shared" si="554"/>
        <v>0</v>
      </c>
      <c r="P276" s="36">
        <f t="shared" si="555"/>
        <v>0.1620150267793902</v>
      </c>
      <c r="Q276" s="35">
        <f>VLOOKUP($B276,REPORTE!$B$3:$AV$200,46,FALSE)/1000000</f>
        <v>0</v>
      </c>
      <c r="R276" s="36" t="str">
        <f t="shared" si="556"/>
        <v/>
      </c>
      <c r="S276" s="60" t="e">
        <f t="shared" si="557"/>
        <v>#VALUE!</v>
      </c>
      <c r="T276" s="35">
        <f t="shared" si="558"/>
        <v>0</v>
      </c>
      <c r="U276" s="40">
        <f t="shared" si="559"/>
        <v>0.155</v>
      </c>
      <c r="V276" s="35">
        <f>VLOOKUP($B276,REPORTE!$B$3:$AV$200,47,FALSE)/1000000</f>
        <v>0</v>
      </c>
      <c r="W276" s="36" t="str">
        <f t="shared" si="560"/>
        <v/>
      </c>
      <c r="X276" s="145" t="e">
        <f t="shared" si="561"/>
        <v>#VALUE!</v>
      </c>
      <c r="Y276" s="41"/>
      <c r="Z276" s="35">
        <f>VLOOKUP($B276,REPORTE!$B$3:$AV$200,44,FALSE)/1000000</f>
        <v>0</v>
      </c>
      <c r="AA276" s="36" t="str">
        <f t="shared" si="562"/>
        <v/>
      </c>
      <c r="AB276" s="60" t="e">
        <f t="shared" si="563"/>
        <v>#VALUE!</v>
      </c>
      <c r="AC276" s="35">
        <f t="shared" si="564"/>
        <v>0</v>
      </c>
      <c r="AD276" s="35">
        <f>VLOOKUP($B276,REPORTE!$B$3:$AV$200,46,FALSE)/1000000</f>
        <v>0</v>
      </c>
      <c r="AE276" s="36" t="str">
        <f t="shared" si="565"/>
        <v/>
      </c>
      <c r="AF276" s="127" t="e">
        <f t="shared" si="566"/>
        <v>#VALUE!</v>
      </c>
    </row>
    <row r="277" spans="1:32" ht="21.95" customHeight="1">
      <c r="A277" s="38" t="s">
        <v>48</v>
      </c>
      <c r="B277" s="34" t="s">
        <v>48</v>
      </c>
      <c r="C277" s="35">
        <f>VLOOKUP(B277,REPORTE!$B$3:$AS$200,38,FALSE)/1000000</f>
        <v>4644.2391459999999</v>
      </c>
      <c r="D277" s="35">
        <f>VLOOKUP(B277,REPORTE!$B$3:$AS$200,39,FALSE)/1000000</f>
        <v>0</v>
      </c>
      <c r="E277" s="35">
        <f>VLOOKUP(B277,REPORTE!$B$3:$AS$200,40,FALSE)/1000000</f>
        <v>0</v>
      </c>
      <c r="F277" s="35">
        <f>VLOOKUP(B277,REPORTE!$B$3:$AV$200,41,FALSE)/1000000</f>
        <v>4644.2391459999999</v>
      </c>
      <c r="G277" s="35">
        <f>(VLOOKUP(B277,REPORTE!$B$3:$AV$200,42,FALSE)/1000000)</f>
        <v>0</v>
      </c>
      <c r="H277" s="35">
        <f t="shared" si="548"/>
        <v>4644.2391459999999</v>
      </c>
      <c r="I277" s="35">
        <f t="shared" si="549"/>
        <v>1625.6479165874064</v>
      </c>
      <c r="J277" s="36">
        <f t="shared" si="550"/>
        <v>0.3500353589645675</v>
      </c>
      <c r="K277" s="35">
        <f>VLOOKUP($B277,REPORTE!$B$3:$AV$200,44,FALSE)/1000000</f>
        <v>0</v>
      </c>
      <c r="L277" s="36">
        <f t="shared" si="551"/>
        <v>0</v>
      </c>
      <c r="M277" s="60">
        <f t="shared" si="552"/>
        <v>0</v>
      </c>
      <c r="N277" s="35">
        <f t="shared" si="553"/>
        <v>4644.2391459999999</v>
      </c>
      <c r="O277" s="35">
        <f t="shared" si="554"/>
        <v>752.4365296090823</v>
      </c>
      <c r="P277" s="36">
        <f t="shared" si="555"/>
        <v>0.1620150267793902</v>
      </c>
      <c r="Q277" s="35">
        <f>VLOOKUP($B277,REPORTE!$B$3:$AV$200,46,FALSE)/1000000</f>
        <v>0</v>
      </c>
      <c r="R277" s="36">
        <f t="shared" si="556"/>
        <v>0</v>
      </c>
      <c r="S277" s="60">
        <f t="shared" si="557"/>
        <v>0</v>
      </c>
      <c r="T277" s="35">
        <f t="shared" si="558"/>
        <v>719.85706762999996</v>
      </c>
      <c r="U277" s="40">
        <f t="shared" si="559"/>
        <v>0.155</v>
      </c>
      <c r="V277" s="35">
        <f>VLOOKUP($B277,REPORTE!$B$3:$AV$200,47,FALSE)/1000000</f>
        <v>0</v>
      </c>
      <c r="W277" s="36">
        <f t="shared" si="560"/>
        <v>0</v>
      </c>
      <c r="X277" s="145">
        <f t="shared" si="561"/>
        <v>0</v>
      </c>
      <c r="Y277" s="41"/>
      <c r="Z277" s="35">
        <f>VLOOKUP($B277,REPORTE!$B$3:$AV$200,44,FALSE)/1000000</f>
        <v>0</v>
      </c>
      <c r="AA277" s="36">
        <f t="shared" si="562"/>
        <v>0</v>
      </c>
      <c r="AB277" s="60">
        <f t="shared" si="563"/>
        <v>0</v>
      </c>
      <c r="AC277" s="35">
        <f t="shared" si="564"/>
        <v>4644.2391459999999</v>
      </c>
      <c r="AD277" s="35">
        <f>VLOOKUP($B277,REPORTE!$B$3:$AV$200,46,FALSE)/1000000</f>
        <v>0</v>
      </c>
      <c r="AE277" s="36">
        <f t="shared" si="565"/>
        <v>0</v>
      </c>
      <c r="AF277" s="127">
        <f t="shared" si="566"/>
        <v>0</v>
      </c>
    </row>
    <row r="278" spans="1:32" ht="21.95" customHeight="1">
      <c r="A278" s="38" t="s">
        <v>49</v>
      </c>
      <c r="B278" s="34" t="s">
        <v>49</v>
      </c>
      <c r="C278" s="35">
        <f>VLOOKUP(B278,REPORTE!$B$3:$AS$200,38,FALSE)/1000000</f>
        <v>330.72665599999999</v>
      </c>
      <c r="D278" s="35">
        <f>VLOOKUP(B278,REPORTE!$B$3:$AS$200,39,FALSE)/1000000</f>
        <v>0</v>
      </c>
      <c r="E278" s="35">
        <f>VLOOKUP(B278,REPORTE!$B$3:$AS$200,40,FALSE)/1000000</f>
        <v>0</v>
      </c>
      <c r="F278" s="35">
        <f>VLOOKUP(B278,REPORTE!$B$3:$AV$200,41,FALSE)/1000000</f>
        <v>330.72665599999999</v>
      </c>
      <c r="G278" s="35">
        <f>(VLOOKUP(B278,REPORTE!$B$3:$AV$200,42,FALSE)/1000000)</f>
        <v>0</v>
      </c>
      <c r="H278" s="35">
        <f t="shared" si="548"/>
        <v>330.72665599999999</v>
      </c>
      <c r="I278" s="35">
        <f t="shared" si="549"/>
        <v>115.76602375211102</v>
      </c>
      <c r="J278" s="36">
        <f t="shared" si="550"/>
        <v>0.3500353589645675</v>
      </c>
      <c r="K278" s="35">
        <f>VLOOKUP($B278,REPORTE!$B$3:$AV$200,44,FALSE)/1000000</f>
        <v>0</v>
      </c>
      <c r="L278" s="36">
        <f t="shared" si="551"/>
        <v>0</v>
      </c>
      <c r="M278" s="60">
        <f t="shared" si="552"/>
        <v>0</v>
      </c>
      <c r="N278" s="35">
        <f t="shared" si="553"/>
        <v>330.72665599999999</v>
      </c>
      <c r="O278" s="35">
        <f t="shared" si="554"/>
        <v>53.582688028498168</v>
      </c>
      <c r="P278" s="36">
        <f t="shared" si="555"/>
        <v>0.1620150267793902</v>
      </c>
      <c r="Q278" s="35">
        <f>VLOOKUP($B278,REPORTE!$B$3:$AV$200,46,FALSE)/1000000</f>
        <v>0</v>
      </c>
      <c r="R278" s="36">
        <f t="shared" si="556"/>
        <v>0</v>
      </c>
      <c r="S278" s="60">
        <f t="shared" si="557"/>
        <v>0</v>
      </c>
      <c r="T278" s="35">
        <f t="shared" si="558"/>
        <v>51.262631679999998</v>
      </c>
      <c r="U278" s="40">
        <f t="shared" si="559"/>
        <v>0.155</v>
      </c>
      <c r="V278" s="35">
        <f>VLOOKUP($B278,REPORTE!$B$3:$AV$200,47,FALSE)/1000000</f>
        <v>0</v>
      </c>
      <c r="W278" s="36">
        <f t="shared" si="560"/>
        <v>0</v>
      </c>
      <c r="X278" s="145">
        <f t="shared" si="561"/>
        <v>0</v>
      </c>
      <c r="Y278" s="41"/>
      <c r="Z278" s="35">
        <f>VLOOKUP($B278,REPORTE!$B$3:$AV$200,44,FALSE)/1000000</f>
        <v>0</v>
      </c>
      <c r="AA278" s="36">
        <f t="shared" si="562"/>
        <v>0</v>
      </c>
      <c r="AB278" s="60">
        <f t="shared" si="563"/>
        <v>0</v>
      </c>
      <c r="AC278" s="35">
        <f t="shared" si="564"/>
        <v>330.72665599999999</v>
      </c>
      <c r="AD278" s="35">
        <f>VLOOKUP($B278,REPORTE!$B$3:$AV$200,46,FALSE)/1000000</f>
        <v>0</v>
      </c>
      <c r="AE278" s="36">
        <f t="shared" si="565"/>
        <v>0</v>
      </c>
      <c r="AF278" s="127">
        <f t="shared" si="566"/>
        <v>0</v>
      </c>
    </row>
    <row r="279" spans="1:32" ht="21.95" hidden="1" customHeight="1">
      <c r="A279" s="38" t="s">
        <v>50</v>
      </c>
      <c r="B279" s="34" t="s">
        <v>50</v>
      </c>
      <c r="C279" s="35">
        <f>VLOOKUP(B279,REPORTE!$B$3:$AS$200,38,FALSE)/1000000</f>
        <v>217.61480499999999</v>
      </c>
      <c r="D279" s="35">
        <f>VLOOKUP(B279,REPORTE!$B$3:$AS$200,39,FALSE)/1000000</f>
        <v>0</v>
      </c>
      <c r="E279" s="35">
        <f>VLOOKUP(B279,REPORTE!$B$3:$AS$200,40,FALSE)/1000000</f>
        <v>0</v>
      </c>
      <c r="F279" s="35">
        <f>VLOOKUP(B279,REPORTE!$B$3:$AV$200,41,FALSE)/1000000</f>
        <v>217.61480499999999</v>
      </c>
      <c r="G279" s="35">
        <f>(VLOOKUP(B279,REPORTE!$B$3:$AV$200,42,FALSE)/1000000)</f>
        <v>0</v>
      </c>
      <c r="H279" s="35">
        <f t="shared" si="548"/>
        <v>217.61480499999999</v>
      </c>
      <c r="I279" s="35">
        <f t="shared" si="549"/>
        <v>76.172876384179361</v>
      </c>
      <c r="J279" s="36">
        <f t="shared" si="550"/>
        <v>0.3500353589645675</v>
      </c>
      <c r="K279" s="35">
        <f>VLOOKUP($B279,REPORTE!$B$3:$AV$200,44,FALSE)/1000000</f>
        <v>0</v>
      </c>
      <c r="L279" s="36">
        <f t="shared" si="551"/>
        <v>0</v>
      </c>
      <c r="M279" s="60">
        <f t="shared" si="552"/>
        <v>0</v>
      </c>
      <c r="N279" s="35">
        <f t="shared" si="553"/>
        <v>217.61480499999999</v>
      </c>
      <c r="O279" s="35">
        <f t="shared" si="554"/>
        <v>35.256868459666777</v>
      </c>
      <c r="P279" s="36">
        <f t="shared" si="555"/>
        <v>0.1620150267793902</v>
      </c>
      <c r="Q279" s="35">
        <f>VLOOKUP($B279,REPORTE!$B$3:$AV$200,46,FALSE)/1000000</f>
        <v>0</v>
      </c>
      <c r="R279" s="36">
        <f t="shared" si="556"/>
        <v>0</v>
      </c>
      <c r="S279" s="60">
        <f t="shared" si="557"/>
        <v>0</v>
      </c>
      <c r="T279" s="35">
        <f t="shared" si="558"/>
        <v>33.730294774999997</v>
      </c>
      <c r="U279" s="40">
        <f t="shared" si="559"/>
        <v>0.155</v>
      </c>
      <c r="V279" s="35">
        <f>VLOOKUP($B279,REPORTE!$B$3:$AV$200,47,FALSE)/1000000</f>
        <v>0</v>
      </c>
      <c r="W279" s="36">
        <f t="shared" si="560"/>
        <v>0</v>
      </c>
      <c r="X279" s="145">
        <f t="shared" si="561"/>
        <v>0</v>
      </c>
      <c r="Y279" s="41"/>
      <c r="Z279" s="35">
        <f>VLOOKUP($B279,REPORTE!$B$3:$AV$200,44,FALSE)/1000000</f>
        <v>0</v>
      </c>
      <c r="AA279" s="36">
        <f t="shared" si="562"/>
        <v>0</v>
      </c>
      <c r="AB279" s="60">
        <f t="shared" si="563"/>
        <v>0</v>
      </c>
      <c r="AC279" s="35">
        <f t="shared" si="564"/>
        <v>217.61480499999999</v>
      </c>
      <c r="AD279" s="35">
        <f>VLOOKUP($B279,REPORTE!$B$3:$AV$200,46,FALSE)/1000000</f>
        <v>0</v>
      </c>
      <c r="AE279" s="36">
        <f t="shared" si="565"/>
        <v>0</v>
      </c>
      <c r="AF279" s="127">
        <f t="shared" si="566"/>
        <v>0</v>
      </c>
    </row>
    <row r="280" spans="1:32" ht="21.95" hidden="1" customHeight="1">
      <c r="A280" s="38" t="s">
        <v>51</v>
      </c>
      <c r="B280" s="34" t="s">
        <v>51</v>
      </c>
      <c r="C280" s="35">
        <f>VLOOKUP(B280,REPORTE!$B$3:$AS$200,38,FALSE)/1000000</f>
        <v>0</v>
      </c>
      <c r="D280" s="35">
        <f>VLOOKUP(B280,REPORTE!$B$3:$AS$200,39,FALSE)/1000000</f>
        <v>0</v>
      </c>
      <c r="E280" s="35">
        <f>VLOOKUP(B280,REPORTE!$B$3:$AS$200,40,FALSE)/1000000</f>
        <v>0</v>
      </c>
      <c r="F280" s="35">
        <f>VLOOKUP(B280,REPORTE!$B$3:$AV$200,41,FALSE)/1000000</f>
        <v>0</v>
      </c>
      <c r="G280" s="35">
        <f>(VLOOKUP(B280,REPORTE!$B$3:$AV$200,42,FALSE)/1000000)</f>
        <v>0</v>
      </c>
      <c r="H280" s="35">
        <f t="shared" si="548"/>
        <v>0</v>
      </c>
      <c r="I280" s="35">
        <f t="shared" si="549"/>
        <v>0</v>
      </c>
      <c r="J280" s="36">
        <f t="shared" si="550"/>
        <v>0.3500353589645675</v>
      </c>
      <c r="K280" s="35">
        <f>VLOOKUP($B280,REPORTE!$B$3:$AV$200,44,FALSE)/1000000</f>
        <v>0</v>
      </c>
      <c r="L280" s="36" t="str">
        <f t="shared" si="551"/>
        <v/>
      </c>
      <c r="M280" s="60" t="e">
        <f t="shared" si="552"/>
        <v>#VALUE!</v>
      </c>
      <c r="N280" s="35">
        <f t="shared" si="553"/>
        <v>0</v>
      </c>
      <c r="O280" s="35">
        <f t="shared" si="554"/>
        <v>0</v>
      </c>
      <c r="P280" s="36">
        <f t="shared" si="555"/>
        <v>0.1620150267793902</v>
      </c>
      <c r="Q280" s="35">
        <f>VLOOKUP($B280,REPORTE!$B$3:$AV$200,46,FALSE)/1000000</f>
        <v>0</v>
      </c>
      <c r="R280" s="36" t="str">
        <f t="shared" si="556"/>
        <v/>
      </c>
      <c r="S280" s="60" t="e">
        <f t="shared" si="557"/>
        <v>#VALUE!</v>
      </c>
      <c r="T280" s="35">
        <f t="shared" si="558"/>
        <v>0</v>
      </c>
      <c r="U280" s="40">
        <f t="shared" si="559"/>
        <v>0.155</v>
      </c>
      <c r="V280" s="35">
        <f>VLOOKUP($B280,REPORTE!$B$3:$AV$200,47,FALSE)/1000000</f>
        <v>0</v>
      </c>
      <c r="W280" s="36" t="str">
        <f t="shared" si="560"/>
        <v/>
      </c>
      <c r="X280" s="145" t="e">
        <f t="shared" si="561"/>
        <v>#VALUE!</v>
      </c>
      <c r="Y280" s="41"/>
      <c r="Z280" s="35">
        <f>VLOOKUP($B280,REPORTE!$B$3:$AV$200,44,FALSE)/1000000</f>
        <v>0</v>
      </c>
      <c r="AA280" s="36" t="str">
        <f t="shared" si="562"/>
        <v/>
      </c>
      <c r="AB280" s="60" t="e">
        <f t="shared" si="563"/>
        <v>#VALUE!</v>
      </c>
      <c r="AC280" s="35">
        <f t="shared" si="564"/>
        <v>0</v>
      </c>
      <c r="AD280" s="35">
        <f>VLOOKUP($B280,REPORTE!$B$3:$AV$200,46,FALSE)/1000000</f>
        <v>0</v>
      </c>
      <c r="AE280" s="36" t="str">
        <f t="shared" si="565"/>
        <v/>
      </c>
      <c r="AF280" s="127" t="e">
        <f t="shared" si="566"/>
        <v>#VALUE!</v>
      </c>
    </row>
    <row r="281" spans="1:32" ht="21.95" customHeight="1">
      <c r="A281" s="38" t="s">
        <v>52</v>
      </c>
      <c r="B281" s="34" t="s">
        <v>52</v>
      </c>
      <c r="C281" s="35">
        <f>VLOOKUP(B281,REPORTE!$B$3:$AS$200,38,FALSE)/1000000</f>
        <v>1418.5896540000001</v>
      </c>
      <c r="D281" s="35">
        <f>VLOOKUP(B281,REPORTE!$B$3:$AS$200,39,FALSE)/1000000</f>
        <v>0</v>
      </c>
      <c r="E281" s="35">
        <f>VLOOKUP(B281,REPORTE!$B$3:$AS$200,40,FALSE)/1000000</f>
        <v>0</v>
      </c>
      <c r="F281" s="35">
        <f>VLOOKUP(B281,REPORTE!$B$3:$AV$200,41,FALSE)/1000000</f>
        <v>1418.5896540000001</v>
      </c>
      <c r="G281" s="35">
        <f>(VLOOKUP(B281,REPORTE!$B$3:$AV$200,42,FALSE)/1000000)</f>
        <v>0</v>
      </c>
      <c r="H281" s="35">
        <f t="shared" si="548"/>
        <v>1418.5896540000001</v>
      </c>
      <c r="I281" s="35">
        <f t="shared" si="549"/>
        <v>496.55653876131163</v>
      </c>
      <c r="J281" s="36">
        <f t="shared" si="550"/>
        <v>0.3500353589645675</v>
      </c>
      <c r="K281" s="35">
        <f>VLOOKUP($B281,REPORTE!$B$3:$AV$200,44,FALSE)/1000000</f>
        <v>0</v>
      </c>
      <c r="L281" s="36">
        <f t="shared" si="551"/>
        <v>0</v>
      </c>
      <c r="M281" s="60">
        <f t="shared" si="552"/>
        <v>0</v>
      </c>
      <c r="N281" s="35">
        <f t="shared" si="553"/>
        <v>1418.5896540000001</v>
      </c>
      <c r="O281" s="35">
        <f t="shared" si="554"/>
        <v>229.8328407817759</v>
      </c>
      <c r="P281" s="36">
        <f t="shared" si="555"/>
        <v>0.1620150267793902</v>
      </c>
      <c r="Q281" s="35">
        <f>VLOOKUP($B281,REPORTE!$B$3:$AV$200,46,FALSE)/1000000</f>
        <v>0</v>
      </c>
      <c r="R281" s="36">
        <f t="shared" si="556"/>
        <v>0</v>
      </c>
      <c r="S281" s="60">
        <f t="shared" si="557"/>
        <v>0</v>
      </c>
      <c r="T281" s="35">
        <f t="shared" si="558"/>
        <v>219.88139637</v>
      </c>
      <c r="U281" s="40">
        <f t="shared" si="559"/>
        <v>0.155</v>
      </c>
      <c r="V281" s="35">
        <f>VLOOKUP($B281,REPORTE!$B$3:$AV$200,47,FALSE)/1000000</f>
        <v>0</v>
      </c>
      <c r="W281" s="36">
        <f t="shared" si="560"/>
        <v>0</v>
      </c>
      <c r="X281" s="145">
        <f t="shared" si="561"/>
        <v>0</v>
      </c>
      <c r="Y281" s="41"/>
      <c r="Z281" s="35">
        <f>VLOOKUP($B281,REPORTE!$B$3:$AV$200,44,FALSE)/1000000</f>
        <v>0</v>
      </c>
      <c r="AA281" s="36">
        <f t="shared" si="562"/>
        <v>0</v>
      </c>
      <c r="AB281" s="60">
        <f t="shared" si="563"/>
        <v>0</v>
      </c>
      <c r="AC281" s="35">
        <f t="shared" si="564"/>
        <v>1418.5896540000001</v>
      </c>
      <c r="AD281" s="35">
        <f>VLOOKUP($B281,REPORTE!$B$3:$AV$200,46,FALSE)/1000000</f>
        <v>0</v>
      </c>
      <c r="AE281" s="36">
        <f t="shared" si="565"/>
        <v>0</v>
      </c>
      <c r="AF281" s="127">
        <f t="shared" si="566"/>
        <v>0</v>
      </c>
    </row>
    <row r="282" spans="1:32" ht="21.95" hidden="1" customHeight="1">
      <c r="A282" s="38" t="s">
        <v>25</v>
      </c>
      <c r="B282" s="34" t="s">
        <v>25</v>
      </c>
      <c r="C282" s="35">
        <f>VLOOKUP(B282,REPORTE!$B$3:$AS$200,38,FALSE)/1000000</f>
        <v>551.92994299999998</v>
      </c>
      <c r="D282" s="35">
        <f>VLOOKUP(B282,REPORTE!$B$3:$AS$200,39,FALSE)/1000000</f>
        <v>0</v>
      </c>
      <c r="E282" s="35">
        <f>VLOOKUP(B282,REPORTE!$B$3:$AS$200,40,FALSE)/1000000</f>
        <v>0</v>
      </c>
      <c r="F282" s="35">
        <f>VLOOKUP(B282,REPORTE!$B$3:$AV$200,41,FALSE)/1000000</f>
        <v>551.92994299999998</v>
      </c>
      <c r="G282" s="35">
        <f>(VLOOKUP(B282,REPORTE!$B$3:$AV$200,42,FALSE)/1000000)</f>
        <v>0</v>
      </c>
      <c r="H282" s="35">
        <f t="shared" si="548"/>
        <v>551.92994299999998</v>
      </c>
      <c r="I282" s="35">
        <f t="shared" si="549"/>
        <v>193.19499572129828</v>
      </c>
      <c r="J282" s="36">
        <f t="shared" si="550"/>
        <v>0.3500353589645675</v>
      </c>
      <c r="K282" s="35">
        <f>VLOOKUP($B282,REPORTE!$B$3:$AV$200,44,FALSE)/1000000</f>
        <v>0</v>
      </c>
      <c r="L282" s="36">
        <f t="shared" si="551"/>
        <v>0</v>
      </c>
      <c r="M282" s="60">
        <f t="shared" si="552"/>
        <v>0</v>
      </c>
      <c r="N282" s="35">
        <f t="shared" si="553"/>
        <v>551.92994299999998</v>
      </c>
      <c r="O282" s="35">
        <f t="shared" si="554"/>
        <v>89.420944495492307</v>
      </c>
      <c r="P282" s="36">
        <f t="shared" si="555"/>
        <v>0.1620150267793902</v>
      </c>
      <c r="Q282" s="35">
        <f>VLOOKUP($B282,REPORTE!$B$3:$AV$200,46,FALSE)/1000000</f>
        <v>0</v>
      </c>
      <c r="R282" s="36">
        <f t="shared" si="556"/>
        <v>0</v>
      </c>
      <c r="S282" s="60">
        <f t="shared" si="557"/>
        <v>0</v>
      </c>
      <c r="T282" s="35">
        <f t="shared" si="558"/>
        <v>85.549141164999995</v>
      </c>
      <c r="U282" s="40">
        <f t="shared" si="559"/>
        <v>0.155</v>
      </c>
      <c r="V282" s="35">
        <f>VLOOKUP($B282,REPORTE!$B$3:$AV$200,47,FALSE)/1000000</f>
        <v>0</v>
      </c>
      <c r="W282" s="36">
        <f t="shared" si="560"/>
        <v>0</v>
      </c>
      <c r="X282" s="145">
        <f t="shared" si="561"/>
        <v>0</v>
      </c>
      <c r="Y282" s="41"/>
      <c r="Z282" s="35">
        <f>VLOOKUP($B282,REPORTE!$B$3:$AV$200,44,FALSE)/1000000</f>
        <v>0</v>
      </c>
      <c r="AA282" s="36">
        <f t="shared" si="562"/>
        <v>0</v>
      </c>
      <c r="AB282" s="60">
        <f t="shared" si="563"/>
        <v>0</v>
      </c>
      <c r="AC282" s="35">
        <f t="shared" si="564"/>
        <v>551.92994299999998</v>
      </c>
      <c r="AD282" s="35">
        <f>VLOOKUP($B282,REPORTE!$B$3:$AV$200,46,FALSE)/1000000</f>
        <v>0</v>
      </c>
      <c r="AE282" s="36">
        <f t="shared" si="565"/>
        <v>0</v>
      </c>
      <c r="AF282" s="127">
        <f t="shared" si="566"/>
        <v>0</v>
      </c>
    </row>
    <row r="283" spans="1:32" ht="21.95" customHeight="1">
      <c r="A283" s="38" t="s">
        <v>26</v>
      </c>
      <c r="B283" s="34" t="s">
        <v>26</v>
      </c>
      <c r="C283" s="35">
        <f>VLOOKUP(B283,REPORTE!$B$3:$AS$200,38,FALSE)/1000000</f>
        <v>506.08828899999997</v>
      </c>
      <c r="D283" s="35">
        <f>VLOOKUP(B283,REPORTE!$B$3:$AS$200,39,FALSE)/1000000</f>
        <v>0</v>
      </c>
      <c r="E283" s="35">
        <f>VLOOKUP(B283,REPORTE!$B$3:$AS$200,40,FALSE)/1000000</f>
        <v>0</v>
      </c>
      <c r="F283" s="35">
        <f>VLOOKUP(B283,REPORTE!$B$3:$AV$200,41,FALSE)/1000000</f>
        <v>506.08828899999997</v>
      </c>
      <c r="G283" s="35">
        <f>(VLOOKUP(B283,REPORTE!$B$3:$AV$200,42,FALSE)/1000000)</f>
        <v>0</v>
      </c>
      <c r="H283" s="35">
        <f t="shared" si="548"/>
        <v>506.08828899999997</v>
      </c>
      <c r="I283" s="35">
        <f t="shared" si="549"/>
        <v>177.14879590787876</v>
      </c>
      <c r="J283" s="36">
        <f t="shared" si="550"/>
        <v>0.3500353589645675</v>
      </c>
      <c r="K283" s="35">
        <f>VLOOKUP($B283,REPORTE!$B$3:$AV$200,44,FALSE)/1000000</f>
        <v>0</v>
      </c>
      <c r="L283" s="36">
        <f t="shared" si="551"/>
        <v>0</v>
      </c>
      <c r="M283" s="60">
        <f t="shared" si="552"/>
        <v>0</v>
      </c>
      <c r="N283" s="35">
        <f t="shared" si="553"/>
        <v>506.08828899999997</v>
      </c>
      <c r="O283" s="35">
        <f t="shared" si="554"/>
        <v>81.99390769507076</v>
      </c>
      <c r="P283" s="36">
        <f t="shared" si="555"/>
        <v>0.1620150267793902</v>
      </c>
      <c r="Q283" s="35">
        <f>VLOOKUP($B283,REPORTE!$B$3:$AV$200,46,FALSE)/1000000</f>
        <v>0</v>
      </c>
      <c r="R283" s="36">
        <f t="shared" si="556"/>
        <v>0</v>
      </c>
      <c r="S283" s="60">
        <f t="shared" si="557"/>
        <v>0</v>
      </c>
      <c r="T283" s="35">
        <f t="shared" si="558"/>
        <v>78.443684794999996</v>
      </c>
      <c r="U283" s="40">
        <f t="shared" si="559"/>
        <v>0.155</v>
      </c>
      <c r="V283" s="35">
        <f>VLOOKUP($B283,REPORTE!$B$3:$AV$200,47,FALSE)/1000000</f>
        <v>0</v>
      </c>
      <c r="W283" s="36">
        <f t="shared" si="560"/>
        <v>0</v>
      </c>
      <c r="X283" s="145">
        <f t="shared" si="561"/>
        <v>0</v>
      </c>
      <c r="Y283" s="41"/>
      <c r="Z283" s="35">
        <f>VLOOKUP($B283,REPORTE!$B$3:$AV$200,44,FALSE)/1000000</f>
        <v>0</v>
      </c>
      <c r="AA283" s="36">
        <f t="shared" si="562"/>
        <v>0</v>
      </c>
      <c r="AB283" s="60">
        <f t="shared" si="563"/>
        <v>0</v>
      </c>
      <c r="AC283" s="35">
        <f t="shared" si="564"/>
        <v>506.08828899999997</v>
      </c>
      <c r="AD283" s="35">
        <f>VLOOKUP($B283,REPORTE!$B$3:$AV$200,46,FALSE)/1000000</f>
        <v>0</v>
      </c>
      <c r="AE283" s="36">
        <f t="shared" si="565"/>
        <v>0</v>
      </c>
      <c r="AF283" s="127">
        <f t="shared" si="566"/>
        <v>0</v>
      </c>
    </row>
    <row r="284" spans="1:32" ht="21.95" hidden="1" customHeight="1">
      <c r="A284" s="38" t="s">
        <v>31</v>
      </c>
      <c r="B284" s="34" t="s">
        <v>31</v>
      </c>
      <c r="C284" s="35">
        <f>VLOOKUP(B284,REPORTE!$B$3:$AS$200,38,FALSE)/1000000</f>
        <v>0</v>
      </c>
      <c r="D284" s="35">
        <f>VLOOKUP(B284,REPORTE!$B$3:$AS$200,39,FALSE)/1000000</f>
        <v>0</v>
      </c>
      <c r="E284" s="35">
        <f>VLOOKUP(B284,REPORTE!$B$3:$AS$200,40,FALSE)/1000000</f>
        <v>0</v>
      </c>
      <c r="F284" s="35">
        <f>VLOOKUP(B284,REPORTE!$B$3:$AV$200,41,FALSE)/1000000</f>
        <v>0</v>
      </c>
      <c r="G284" s="35">
        <f>(VLOOKUP(B284,REPORTE!$B$3:$AV$200,42,FALSE)/1000000)</f>
        <v>0</v>
      </c>
      <c r="H284" s="35">
        <f t="shared" si="548"/>
        <v>0</v>
      </c>
      <c r="I284" s="35">
        <f t="shared" si="549"/>
        <v>0</v>
      </c>
      <c r="J284" s="36">
        <f t="shared" si="550"/>
        <v>0.3500353589645675</v>
      </c>
      <c r="K284" s="35">
        <f>VLOOKUP($B284,REPORTE!$B$3:$AV$200,44,FALSE)/1000000</f>
        <v>0</v>
      </c>
      <c r="L284" s="36" t="str">
        <f t="shared" si="551"/>
        <v/>
      </c>
      <c r="M284" s="60" t="e">
        <f t="shared" si="552"/>
        <v>#VALUE!</v>
      </c>
      <c r="N284" s="35">
        <f t="shared" si="553"/>
        <v>0</v>
      </c>
      <c r="O284" s="35">
        <f t="shared" si="554"/>
        <v>0</v>
      </c>
      <c r="P284" s="36">
        <f t="shared" si="555"/>
        <v>0.1620150267793902</v>
      </c>
      <c r="Q284" s="35">
        <f>VLOOKUP($B284,REPORTE!$B$3:$AV$200,46,FALSE)/1000000</f>
        <v>0</v>
      </c>
      <c r="R284" s="36" t="str">
        <f t="shared" si="556"/>
        <v/>
      </c>
      <c r="S284" s="60" t="e">
        <f t="shared" si="557"/>
        <v>#VALUE!</v>
      </c>
      <c r="T284" s="35">
        <f t="shared" si="558"/>
        <v>0</v>
      </c>
      <c r="U284" s="40">
        <f t="shared" si="559"/>
        <v>0.155</v>
      </c>
      <c r="V284" s="35">
        <f>VLOOKUP($B284,REPORTE!$B$3:$AV$200,47,FALSE)/1000000</f>
        <v>0</v>
      </c>
      <c r="W284" s="36" t="str">
        <f t="shared" si="560"/>
        <v/>
      </c>
      <c r="X284" s="145" t="e">
        <f t="shared" si="561"/>
        <v>#VALUE!</v>
      </c>
      <c r="Y284" s="41"/>
      <c r="Z284" s="35">
        <f>VLOOKUP($B284,REPORTE!$B$3:$AV$200,44,FALSE)/1000000</f>
        <v>0</v>
      </c>
      <c r="AA284" s="36" t="str">
        <f t="shared" si="562"/>
        <v/>
      </c>
      <c r="AB284" s="60" t="e">
        <f t="shared" si="563"/>
        <v>#VALUE!</v>
      </c>
      <c r="AC284" s="35">
        <f t="shared" si="564"/>
        <v>0</v>
      </c>
      <c r="AD284" s="35">
        <f>VLOOKUP($B284,REPORTE!$B$3:$AV$200,46,FALSE)/1000000</f>
        <v>0</v>
      </c>
      <c r="AE284" s="36" t="str">
        <f t="shared" si="565"/>
        <v/>
      </c>
      <c r="AF284" s="127" t="e">
        <f t="shared" si="566"/>
        <v>#VALUE!</v>
      </c>
    </row>
    <row r="285" spans="1:32" ht="21.95" hidden="1" customHeight="1">
      <c r="A285" s="38" t="s">
        <v>281</v>
      </c>
      <c r="B285" s="43" t="s">
        <v>219</v>
      </c>
      <c r="C285" s="35">
        <f>VLOOKUP(B285,REPORTE!$B$3:$AS$200,38,FALSE)/1000000</f>
        <v>0</v>
      </c>
      <c r="D285" s="35">
        <f>VLOOKUP(B285,REPORTE!$B$3:$AS$200,39,FALSE)/1000000</f>
        <v>0</v>
      </c>
      <c r="E285" s="35">
        <f>VLOOKUP(B285,REPORTE!$B$3:$AS$200,40,FALSE)/1000000</f>
        <v>0</v>
      </c>
      <c r="F285" s="35">
        <f>VLOOKUP(B285,REPORTE!$B$3:$AV$200,41,FALSE)/1000000</f>
        <v>0</v>
      </c>
      <c r="G285" s="35">
        <f>(VLOOKUP(B285,REPORTE!$B$3:$AV$200,42,FALSE)/1000000)</f>
        <v>0</v>
      </c>
      <c r="H285" s="35">
        <f t="shared" si="548"/>
        <v>0</v>
      </c>
      <c r="I285" s="35">
        <f t="shared" si="549"/>
        <v>0</v>
      </c>
      <c r="J285" s="36">
        <f t="shared" si="550"/>
        <v>0.3500353589645675</v>
      </c>
      <c r="K285" s="35">
        <f>VLOOKUP($B285,REPORTE!$B$3:$AV$200,44,FALSE)/1000000</f>
        <v>0</v>
      </c>
      <c r="L285" s="36" t="str">
        <f t="shared" si="551"/>
        <v/>
      </c>
      <c r="M285" s="60" t="e">
        <f t="shared" si="552"/>
        <v>#VALUE!</v>
      </c>
      <c r="N285" s="35">
        <f t="shared" si="553"/>
        <v>0</v>
      </c>
      <c r="O285" s="35">
        <f t="shared" si="554"/>
        <v>0</v>
      </c>
      <c r="P285" s="36">
        <f t="shared" si="555"/>
        <v>0.1620150267793902</v>
      </c>
      <c r="Q285" s="35">
        <f>VLOOKUP($B285,REPORTE!$B$3:$AV$200,46,FALSE)/1000000</f>
        <v>0</v>
      </c>
      <c r="R285" s="36" t="str">
        <f t="shared" si="556"/>
        <v/>
      </c>
      <c r="S285" s="60" t="e">
        <f t="shared" si="557"/>
        <v>#VALUE!</v>
      </c>
      <c r="T285" s="35">
        <f t="shared" si="558"/>
        <v>0</v>
      </c>
      <c r="U285" s="40">
        <f t="shared" si="559"/>
        <v>0.155</v>
      </c>
      <c r="V285" s="35">
        <f>VLOOKUP($B285,REPORTE!$B$3:$AV$200,47,FALSE)/1000000</f>
        <v>0</v>
      </c>
      <c r="W285" s="36" t="str">
        <f t="shared" si="560"/>
        <v/>
      </c>
      <c r="X285" s="145" t="e">
        <f t="shared" si="561"/>
        <v>#VALUE!</v>
      </c>
      <c r="Y285" s="41"/>
      <c r="Z285" s="35">
        <f>VLOOKUP($B285,REPORTE!$B$3:$AV$200,44,FALSE)/1000000</f>
        <v>0</v>
      </c>
      <c r="AA285" s="36" t="str">
        <f t="shared" si="562"/>
        <v/>
      </c>
      <c r="AB285" s="60" t="e">
        <f t="shared" si="563"/>
        <v>#VALUE!</v>
      </c>
      <c r="AC285" s="35">
        <f t="shared" si="564"/>
        <v>0</v>
      </c>
      <c r="AD285" s="35">
        <f>VLOOKUP($B285,REPORTE!$B$3:$AV$200,46,FALSE)/1000000</f>
        <v>0</v>
      </c>
      <c r="AE285" s="36" t="str">
        <f t="shared" si="565"/>
        <v/>
      </c>
      <c r="AF285" s="127" t="e">
        <f t="shared" si="566"/>
        <v>#VALUE!</v>
      </c>
    </row>
    <row r="286" spans="1:32" ht="21.95" customHeight="1">
      <c r="A286" s="38" t="s">
        <v>34</v>
      </c>
      <c r="B286" s="34" t="s">
        <v>34</v>
      </c>
      <c r="C286" s="35">
        <f>VLOOKUP(B286,REPORTE!$B$3:$AS$200,38,FALSE)/1000000</f>
        <v>6542.5845669999999</v>
      </c>
      <c r="D286" s="35">
        <f>VLOOKUP(B286,REPORTE!$B$3:$AS$200,39,FALSE)/1000000</f>
        <v>0</v>
      </c>
      <c r="E286" s="35">
        <f>VLOOKUP(B286,REPORTE!$B$3:$AS$200,40,FALSE)/1000000</f>
        <v>0</v>
      </c>
      <c r="F286" s="35">
        <f>VLOOKUP(B286,REPORTE!$B$3:$AV$200,41,FALSE)/1000000</f>
        <v>6542.5845669999999</v>
      </c>
      <c r="G286" s="35">
        <f>(VLOOKUP(B286,REPORTE!$B$3:$AV$200,42,FALSE)/1000000)</f>
        <v>0</v>
      </c>
      <c r="H286" s="35">
        <f t="shared" si="548"/>
        <v>6542.5845669999999</v>
      </c>
      <c r="I286" s="35">
        <f t="shared" si="549"/>
        <v>2290.1359374658846</v>
      </c>
      <c r="J286" s="36">
        <f t="shared" si="550"/>
        <v>0.3500353589645675</v>
      </c>
      <c r="K286" s="35">
        <f>VLOOKUP($B286,REPORTE!$B$3:$AV$200,44,FALSE)/1000000</f>
        <v>0</v>
      </c>
      <c r="L286" s="36">
        <f t="shared" si="551"/>
        <v>0</v>
      </c>
      <c r="M286" s="60">
        <f t="shared" si="552"/>
        <v>0</v>
      </c>
      <c r="N286" s="35">
        <f t="shared" si="553"/>
        <v>6542.5845669999999</v>
      </c>
      <c r="O286" s="35">
        <f t="shared" si="554"/>
        <v>1059.99701382893</v>
      </c>
      <c r="P286" s="36">
        <f t="shared" si="555"/>
        <v>0.1620150267793902</v>
      </c>
      <c r="Q286" s="35">
        <f>VLOOKUP($B286,REPORTE!$B$3:$AV$200,46,FALSE)/1000000</f>
        <v>0</v>
      </c>
      <c r="R286" s="36">
        <f t="shared" si="556"/>
        <v>0</v>
      </c>
      <c r="S286" s="60">
        <f t="shared" si="557"/>
        <v>0</v>
      </c>
      <c r="T286" s="35">
        <f t="shared" si="558"/>
        <v>1014.1006078849999</v>
      </c>
      <c r="U286" s="40">
        <f t="shared" si="559"/>
        <v>0.155</v>
      </c>
      <c r="V286" s="35">
        <f>VLOOKUP($B286,REPORTE!$B$3:$AV$200,47,FALSE)/1000000</f>
        <v>0</v>
      </c>
      <c r="W286" s="36">
        <f t="shared" si="560"/>
        <v>0</v>
      </c>
      <c r="X286" s="145">
        <f t="shared" si="561"/>
        <v>0</v>
      </c>
      <c r="Y286" s="41"/>
      <c r="Z286" s="35">
        <f>VLOOKUP($B286,REPORTE!$B$3:$AV$200,44,FALSE)/1000000</f>
        <v>0</v>
      </c>
      <c r="AA286" s="36">
        <f t="shared" si="562"/>
        <v>0</v>
      </c>
      <c r="AB286" s="60">
        <f t="shared" si="563"/>
        <v>0</v>
      </c>
      <c r="AC286" s="35">
        <f t="shared" si="564"/>
        <v>6542.5845669999999</v>
      </c>
      <c r="AD286" s="35">
        <f>VLOOKUP($B286,REPORTE!$B$3:$AV$200,46,FALSE)/1000000</f>
        <v>0</v>
      </c>
      <c r="AE286" s="36">
        <f t="shared" si="565"/>
        <v>0</v>
      </c>
      <c r="AF286" s="127">
        <f t="shared" si="566"/>
        <v>0</v>
      </c>
    </row>
    <row r="287" spans="1:32" ht="24" customHeight="1">
      <c r="A287" s="290" t="s">
        <v>245</v>
      </c>
      <c r="B287" s="291"/>
      <c r="C287" s="282">
        <f t="shared" ref="C287:H287" si="567">SUM(C256:C286)</f>
        <v>22180.405442999996</v>
      </c>
      <c r="D287" s="282">
        <f t="shared" si="567"/>
        <v>0</v>
      </c>
      <c r="E287" s="282">
        <f t="shared" si="567"/>
        <v>0</v>
      </c>
      <c r="F287" s="282">
        <f t="shared" si="567"/>
        <v>22180.405442999996</v>
      </c>
      <c r="G287" s="282">
        <f t="shared" si="567"/>
        <v>0</v>
      </c>
      <c r="H287" s="282">
        <f t="shared" si="567"/>
        <v>22180.405442999996</v>
      </c>
      <c r="I287" s="282">
        <f t="shared" si="549"/>
        <v>7763.9261812201503</v>
      </c>
      <c r="J287" s="283">
        <f t="shared" si="550"/>
        <v>0.3500353589645675</v>
      </c>
      <c r="K287" s="282">
        <f>SUM(K256:K286)</f>
        <v>0</v>
      </c>
      <c r="L287" s="283">
        <f t="shared" ref="L287" si="568">K287/$H287</f>
        <v>0</v>
      </c>
      <c r="M287" s="262">
        <f t="shared" si="552"/>
        <v>0</v>
      </c>
      <c r="N287" s="282">
        <f>SUM(N256:N286)</f>
        <v>22180.405442999996</v>
      </c>
      <c r="O287" s="282">
        <f t="shared" si="554"/>
        <v>3593.5589818253766</v>
      </c>
      <c r="P287" s="283">
        <f t="shared" si="555"/>
        <v>0.1620150267793902</v>
      </c>
      <c r="Q287" s="282">
        <f>SUM(Q256:Q286)</f>
        <v>0</v>
      </c>
      <c r="R287" s="283">
        <f t="shared" ref="R287" si="569">Q287/$H287</f>
        <v>0</v>
      </c>
      <c r="S287" s="262">
        <f t="shared" si="557"/>
        <v>0</v>
      </c>
      <c r="T287" s="282">
        <f t="shared" si="558"/>
        <v>3437.9628436649996</v>
      </c>
      <c r="U287" s="284">
        <f t="shared" si="559"/>
        <v>0.155</v>
      </c>
      <c r="V287" s="282">
        <f>SUM(V256:V286)</f>
        <v>0</v>
      </c>
      <c r="W287" s="283">
        <f t="shared" ref="W287" si="570">V287/$H287</f>
        <v>0</v>
      </c>
      <c r="X287" s="264">
        <f t="shared" si="561"/>
        <v>0</v>
      </c>
      <c r="Z287" s="282">
        <f>SUM(Z256:Z286)</f>
        <v>0</v>
      </c>
      <c r="AA287" s="283">
        <f>Z287/$F287</f>
        <v>0</v>
      </c>
      <c r="AB287" s="262">
        <f t="shared" si="563"/>
        <v>0</v>
      </c>
      <c r="AC287" s="282">
        <f>SUM(AC256:AC286)</f>
        <v>22180.405442999996</v>
      </c>
      <c r="AD287" s="282">
        <f>SUM(AD256:AD286)</f>
        <v>0</v>
      </c>
      <c r="AE287" s="283">
        <f>AD287/$F287</f>
        <v>0</v>
      </c>
      <c r="AF287" s="264">
        <f t="shared" si="566"/>
        <v>0</v>
      </c>
    </row>
    <row r="288" spans="1:32" ht="32.25" customHeight="1" thickBot="1">
      <c r="A288" s="321" t="s">
        <v>282</v>
      </c>
      <c r="B288" s="322"/>
      <c r="C288" s="322"/>
      <c r="D288" s="322"/>
      <c r="E288" s="322"/>
      <c r="F288" s="322"/>
      <c r="G288" s="322"/>
      <c r="H288" s="322"/>
      <c r="I288" s="322"/>
      <c r="J288" s="322"/>
      <c r="K288" s="322"/>
      <c r="L288" s="322"/>
      <c r="M288" s="322"/>
      <c r="N288" s="322"/>
      <c r="O288" s="322"/>
      <c r="P288" s="322"/>
      <c r="Q288" s="322"/>
      <c r="R288" s="322"/>
      <c r="S288" s="322"/>
      <c r="T288" s="322"/>
      <c r="U288" s="322"/>
      <c r="V288" s="322"/>
      <c r="W288" s="322"/>
      <c r="X288" s="322"/>
      <c r="Y288" s="322"/>
      <c r="Z288" s="322"/>
      <c r="AA288" s="322"/>
      <c r="AB288" s="322"/>
      <c r="AC288" s="322"/>
      <c r="AD288" s="322"/>
      <c r="AE288" s="322"/>
      <c r="AF288" s="323"/>
    </row>
    <row r="289" ht="19.5" thickTop="1"/>
  </sheetData>
  <mergeCells count="266">
    <mergeCell ref="AH75:AJ75"/>
    <mergeCell ref="AH34:AJ34"/>
    <mergeCell ref="B1:C1"/>
    <mergeCell ref="Z3:AF3"/>
    <mergeCell ref="R76:S76"/>
    <mergeCell ref="AE76:AF76"/>
    <mergeCell ref="R62:S62"/>
    <mergeCell ref="AE62:AF62"/>
    <mergeCell ref="AA62:AB62"/>
    <mergeCell ref="AA25:AB25"/>
    <mergeCell ref="R25:S25"/>
    <mergeCell ref="AE25:AF25"/>
    <mergeCell ref="AE15:AF15"/>
    <mergeCell ref="AA15:AB15"/>
    <mergeCell ref="R15:S15"/>
    <mergeCell ref="T3:U3"/>
    <mergeCell ref="V3:X3"/>
    <mergeCell ref="T4:X4"/>
    <mergeCell ref="T13:U13"/>
    <mergeCell ref="V13:X13"/>
    <mergeCell ref="T61:X61"/>
    <mergeCell ref="T75:X75"/>
    <mergeCell ref="Z4:AB4"/>
    <mergeCell ref="AD4:AF4"/>
    <mergeCell ref="F1:G1"/>
    <mergeCell ref="AD112:AF112"/>
    <mergeCell ref="AE93:AF93"/>
    <mergeCell ref="T111:U111"/>
    <mergeCell ref="V111:X111"/>
    <mergeCell ref="T47:X47"/>
    <mergeCell ref="Z47:AB47"/>
    <mergeCell ref="AD47:AF47"/>
    <mergeCell ref="AA48:AB48"/>
    <mergeCell ref="AE48:AF48"/>
    <mergeCell ref="AC47:AC48"/>
    <mergeCell ref="AC61:AC62"/>
    <mergeCell ref="AC75:AC76"/>
    <mergeCell ref="AC92:AC93"/>
    <mergeCell ref="AC112:AC113"/>
    <mergeCell ref="Z75:AB75"/>
    <mergeCell ref="AD75:AF75"/>
    <mergeCell ref="AD92:AF92"/>
    <mergeCell ref="Z92:AB92"/>
    <mergeCell ref="Z112:AB112"/>
    <mergeCell ref="A75:H75"/>
    <mergeCell ref="A92:H92"/>
    <mergeCell ref="A112:H112"/>
    <mergeCell ref="O75:S75"/>
    <mergeCell ref="Z132:AB132"/>
    <mergeCell ref="AD132:AF132"/>
    <mergeCell ref="AD138:AF138"/>
    <mergeCell ref="AD149:AF149"/>
    <mergeCell ref="AD184:AF184"/>
    <mergeCell ref="AD219:AF219"/>
    <mergeCell ref="AA124:AB124"/>
    <mergeCell ref="AA113:AB113"/>
    <mergeCell ref="AE113:AF113"/>
    <mergeCell ref="Z123:AB123"/>
    <mergeCell ref="AD123:AF123"/>
    <mergeCell ref="AE124:AF124"/>
    <mergeCell ref="AC123:AC124"/>
    <mergeCell ref="AC132:AC133"/>
    <mergeCell ref="AC138:AC139"/>
    <mergeCell ref="AC149:AC150"/>
    <mergeCell ref="AC184:AC185"/>
    <mergeCell ref="AC219:AC220"/>
    <mergeCell ref="AE220:AF220"/>
    <mergeCell ref="AA220:AB220"/>
    <mergeCell ref="Z149:AB149"/>
    <mergeCell ref="Z184:AB184"/>
    <mergeCell ref="Z219:AB219"/>
    <mergeCell ref="A138:H138"/>
    <mergeCell ref="L139:M139"/>
    <mergeCell ref="O148:P148"/>
    <mergeCell ref="Q148:S148"/>
    <mergeCell ref="A144:B144"/>
    <mergeCell ref="W150:X150"/>
    <mergeCell ref="W185:X185"/>
    <mergeCell ref="AE133:AF133"/>
    <mergeCell ref="AE185:AF185"/>
    <mergeCell ref="R150:S150"/>
    <mergeCell ref="AE150:AF150"/>
    <mergeCell ref="AA150:AB150"/>
    <mergeCell ref="AA185:AB185"/>
    <mergeCell ref="R139:S139"/>
    <mergeCell ref="AA139:AB139"/>
    <mergeCell ref="AE139:AF139"/>
    <mergeCell ref="T149:X149"/>
    <mergeCell ref="T184:X184"/>
    <mergeCell ref="AA133:AB133"/>
    <mergeCell ref="A123:H123"/>
    <mergeCell ref="O91:P91"/>
    <mergeCell ref="Q111:S111"/>
    <mergeCell ref="O122:P122"/>
    <mergeCell ref="A136:B136"/>
    <mergeCell ref="N132:N133"/>
    <mergeCell ref="A132:H132"/>
    <mergeCell ref="A130:B130"/>
    <mergeCell ref="Q91:S91"/>
    <mergeCell ref="O112:S112"/>
    <mergeCell ref="L15:M15"/>
    <mergeCell ref="L25:M25"/>
    <mergeCell ref="L62:M62"/>
    <mergeCell ref="N4:N5"/>
    <mergeCell ref="I4:M4"/>
    <mergeCell ref="I14:M14"/>
    <mergeCell ref="W124:X124"/>
    <mergeCell ref="O111:P111"/>
    <mergeCell ref="R93:S93"/>
    <mergeCell ref="L113:M113"/>
    <mergeCell ref="L124:M124"/>
    <mergeCell ref="I47:M47"/>
    <mergeCell ref="N47:N48"/>
    <mergeCell ref="T23:U23"/>
    <mergeCell ref="V46:X46"/>
    <mergeCell ref="V23:X23"/>
    <mergeCell ref="T24:X24"/>
    <mergeCell ref="T46:U46"/>
    <mergeCell ref="R113:S113"/>
    <mergeCell ref="L93:M93"/>
    <mergeCell ref="T92:X92"/>
    <mergeCell ref="T112:X112"/>
    <mergeCell ref="I112:M112"/>
    <mergeCell ref="I92:M92"/>
    <mergeCell ref="A3:B3"/>
    <mergeCell ref="R5:S5"/>
    <mergeCell ref="T14:X14"/>
    <mergeCell ref="A61:H61"/>
    <mergeCell ref="O46:P46"/>
    <mergeCell ref="A14:H14"/>
    <mergeCell ref="A24:H24"/>
    <mergeCell ref="O14:S14"/>
    <mergeCell ref="O24:S24"/>
    <mergeCell ref="I24:M24"/>
    <mergeCell ref="A34:H34"/>
    <mergeCell ref="I34:M34"/>
    <mergeCell ref="N34:N35"/>
    <mergeCell ref="L35:M35"/>
    <mergeCell ref="A41:B41"/>
    <mergeCell ref="I61:M61"/>
    <mergeCell ref="O61:S61"/>
    <mergeCell ref="N14:N15"/>
    <mergeCell ref="N24:N25"/>
    <mergeCell ref="N61:N62"/>
    <mergeCell ref="O4:S4"/>
    <mergeCell ref="W5:X5"/>
    <mergeCell ref="W15:X15"/>
    <mergeCell ref="L5:M5"/>
    <mergeCell ref="W25:X25"/>
    <mergeCell ref="W48:X48"/>
    <mergeCell ref="W62:X62"/>
    <mergeCell ref="W76:X76"/>
    <mergeCell ref="W93:X93"/>
    <mergeCell ref="W113:X113"/>
    <mergeCell ref="AC14:AC15"/>
    <mergeCell ref="AC24:AC25"/>
    <mergeCell ref="AA5:AB5"/>
    <mergeCell ref="AA76:AB76"/>
    <mergeCell ref="AA93:AB93"/>
    <mergeCell ref="Z24:AB24"/>
    <mergeCell ref="AD24:AF24"/>
    <mergeCell ref="Z61:AB61"/>
    <mergeCell ref="AD61:AF61"/>
    <mergeCell ref="AC4:AC5"/>
    <mergeCell ref="Z34:AB34"/>
    <mergeCell ref="AC34:AC35"/>
    <mergeCell ref="AD34:AF34"/>
    <mergeCell ref="AA35:AB35"/>
    <mergeCell ref="AE35:AF35"/>
    <mergeCell ref="Z14:AB14"/>
    <mergeCell ref="AH47:AJ47"/>
    <mergeCell ref="AH61:AJ61"/>
    <mergeCell ref="A4:H4"/>
    <mergeCell ref="A288:AF288"/>
    <mergeCell ref="C3:E3"/>
    <mergeCell ref="A2:AF2"/>
    <mergeCell ref="A45:AF45"/>
    <mergeCell ref="A88:AF88"/>
    <mergeCell ref="A43:AF43"/>
    <mergeCell ref="A90:AF90"/>
    <mergeCell ref="A108:AF108"/>
    <mergeCell ref="A119:AF119"/>
    <mergeCell ref="A110:AF110"/>
    <mergeCell ref="L76:M76"/>
    <mergeCell ref="AD14:AF14"/>
    <mergeCell ref="A47:H47"/>
    <mergeCell ref="O47:S47"/>
    <mergeCell ref="L48:M48"/>
    <mergeCell ref="R48:S48"/>
    <mergeCell ref="A59:B59"/>
    <mergeCell ref="I123:M123"/>
    <mergeCell ref="O123:S123"/>
    <mergeCell ref="W133:X133"/>
    <mergeCell ref="AE5:AF5"/>
    <mergeCell ref="T122:U122"/>
    <mergeCell ref="V122:X122"/>
    <mergeCell ref="T132:X132"/>
    <mergeCell ref="O132:S132"/>
    <mergeCell ref="O34:S34"/>
    <mergeCell ref="T34:X34"/>
    <mergeCell ref="R35:S35"/>
    <mergeCell ref="W35:X35"/>
    <mergeCell ref="T123:X123"/>
    <mergeCell ref="Q46:S46"/>
    <mergeCell ref="A121:AF121"/>
    <mergeCell ref="A107:B107"/>
    <mergeCell ref="A73:B73"/>
    <mergeCell ref="I132:M132"/>
    <mergeCell ref="A87:B87"/>
    <mergeCell ref="O92:S92"/>
    <mergeCell ref="N75:N76"/>
    <mergeCell ref="N92:N93"/>
    <mergeCell ref="A118:B118"/>
    <mergeCell ref="N112:N113"/>
    <mergeCell ref="N123:N124"/>
    <mergeCell ref="Q122:S122"/>
    <mergeCell ref="I75:M75"/>
    <mergeCell ref="R124:S124"/>
    <mergeCell ref="AD254:AF254"/>
    <mergeCell ref="L255:M255"/>
    <mergeCell ref="R255:S255"/>
    <mergeCell ref="W255:X255"/>
    <mergeCell ref="AA255:AB255"/>
    <mergeCell ref="AE255:AF255"/>
    <mergeCell ref="T219:X219"/>
    <mergeCell ref="T138:X138"/>
    <mergeCell ref="T148:U148"/>
    <mergeCell ref="W139:X139"/>
    <mergeCell ref="Z138:AB138"/>
    <mergeCell ref="O138:S138"/>
    <mergeCell ref="A145:AF145"/>
    <mergeCell ref="A147:AF147"/>
    <mergeCell ref="A252:B252"/>
    <mergeCell ref="N219:N220"/>
    <mergeCell ref="I149:M149"/>
    <mergeCell ref="O149:S149"/>
    <mergeCell ref="A182:B182"/>
    <mergeCell ref="I184:M184"/>
    <mergeCell ref="O184:S184"/>
    <mergeCell ref="N149:N150"/>
    <mergeCell ref="N184:N185"/>
    <mergeCell ref="A217:B217"/>
    <mergeCell ref="A287:B287"/>
    <mergeCell ref="A254:H254"/>
    <mergeCell ref="I254:M254"/>
    <mergeCell ref="N254:N255"/>
    <mergeCell ref="O254:S254"/>
    <mergeCell ref="T254:X254"/>
    <mergeCell ref="Z254:AB254"/>
    <mergeCell ref="AC254:AC255"/>
    <mergeCell ref="L133:M133"/>
    <mergeCell ref="I219:M219"/>
    <mergeCell ref="O219:S219"/>
    <mergeCell ref="A149:H149"/>
    <mergeCell ref="A184:H184"/>
    <mergeCell ref="A219:H219"/>
    <mergeCell ref="L150:M150"/>
    <mergeCell ref="L185:M185"/>
    <mergeCell ref="L220:M220"/>
    <mergeCell ref="R220:S220"/>
    <mergeCell ref="R185:S185"/>
    <mergeCell ref="W220:X220"/>
    <mergeCell ref="V148:X148"/>
    <mergeCell ref="R133:S133"/>
    <mergeCell ref="I138:M138"/>
    <mergeCell ref="N138:N139"/>
  </mergeCells>
  <conditionalFormatting sqref="M16:M21">
    <cfRule type="iconSet" priority="479">
      <iconSet showValue="0">
        <cfvo type="percent" val="0"/>
        <cfvo type="num" val="0.99"/>
        <cfvo type="num" val="1"/>
      </iconSet>
    </cfRule>
  </conditionalFormatting>
  <conditionalFormatting sqref="M26:M31">
    <cfRule type="iconSet" priority="474">
      <iconSet showValue="0">
        <cfvo type="percent" val="0"/>
        <cfvo type="num" val="0.99"/>
        <cfvo type="num" val="1"/>
      </iconSet>
    </cfRule>
  </conditionalFormatting>
  <conditionalFormatting sqref="M66:M67 M63:M64">
    <cfRule type="iconSet" priority="499">
      <iconSet showValue="0">
        <cfvo type="percent" val="0"/>
        <cfvo type="num" val="0.99"/>
        <cfvo type="num" val="1"/>
      </iconSet>
    </cfRule>
  </conditionalFormatting>
  <conditionalFormatting sqref="M70:M72">
    <cfRule type="iconSet" priority="467">
      <iconSet showValue="0">
        <cfvo type="percent" val="0"/>
        <cfvo type="num" val="0.99"/>
        <cfvo type="num" val="1"/>
      </iconSet>
    </cfRule>
  </conditionalFormatting>
  <conditionalFormatting sqref="M78">
    <cfRule type="iconSet" priority="466">
      <iconSet showValue="0">
        <cfvo type="percent" val="0"/>
        <cfvo type="num" val="0.99"/>
        <cfvo type="num" val="1"/>
      </iconSet>
    </cfRule>
  </conditionalFormatting>
  <conditionalFormatting sqref="M69">
    <cfRule type="iconSet" priority="452">
      <iconSet showValue="0">
        <cfvo type="percent" val="0"/>
        <cfvo type="num" val="0.99"/>
        <cfvo type="num" val="1"/>
      </iconSet>
    </cfRule>
  </conditionalFormatting>
  <conditionalFormatting sqref="M68">
    <cfRule type="iconSet" priority="450">
      <iconSet showValue="0">
        <cfvo type="percent" val="0"/>
        <cfvo type="num" val="0.99"/>
        <cfvo type="num" val="1"/>
      </iconSet>
    </cfRule>
  </conditionalFormatting>
  <conditionalFormatting sqref="M83">
    <cfRule type="iconSet" priority="449">
      <iconSet showValue="0">
        <cfvo type="percent" val="0"/>
        <cfvo type="num" val="0.99"/>
        <cfvo type="num" val="1"/>
      </iconSet>
    </cfRule>
  </conditionalFormatting>
  <conditionalFormatting sqref="M82">
    <cfRule type="iconSet" priority="447">
      <iconSet showValue="0">
        <cfvo type="percent" val="0"/>
        <cfvo type="num" val="0.99"/>
        <cfvo type="num" val="1"/>
      </iconSet>
    </cfRule>
  </conditionalFormatting>
  <conditionalFormatting sqref="M81">
    <cfRule type="iconSet" priority="445">
      <iconSet showValue="0">
        <cfvo type="percent" val="0"/>
        <cfvo type="num" val="0.99"/>
        <cfvo type="num" val="1"/>
      </iconSet>
    </cfRule>
  </conditionalFormatting>
  <conditionalFormatting sqref="M80">
    <cfRule type="iconSet" priority="443">
      <iconSet showValue="0">
        <cfvo type="percent" val="0"/>
        <cfvo type="num" val="0.99"/>
        <cfvo type="num" val="1"/>
      </iconSet>
    </cfRule>
  </conditionalFormatting>
  <conditionalFormatting sqref="M84:M86">
    <cfRule type="iconSet" priority="441">
      <iconSet showValue="0">
        <cfvo type="percent" val="0"/>
        <cfvo type="num" val="0.99"/>
        <cfvo type="num" val="1"/>
      </iconSet>
    </cfRule>
  </conditionalFormatting>
  <conditionalFormatting sqref="M114:M117">
    <cfRule type="iconSet" priority="426">
      <iconSet showValue="0">
        <cfvo type="percent" val="0"/>
        <cfvo type="num" val="0.99"/>
        <cfvo type="num" val="1"/>
      </iconSet>
    </cfRule>
  </conditionalFormatting>
  <conditionalFormatting sqref="M125">
    <cfRule type="iconSet" priority="414">
      <iconSet showValue="0">
        <cfvo type="percent" val="0"/>
        <cfvo type="num" val="0.99"/>
        <cfvo type="num" val="1"/>
      </iconSet>
    </cfRule>
  </conditionalFormatting>
  <conditionalFormatting sqref="M134">
    <cfRule type="iconSet" priority="408">
      <iconSet showValue="0">
        <cfvo type="percent" val="0"/>
        <cfvo type="num" val="0.99"/>
        <cfvo type="num" val="1"/>
      </iconSet>
    </cfRule>
  </conditionalFormatting>
  <conditionalFormatting sqref="M135">
    <cfRule type="iconSet" priority="406">
      <iconSet showValue="0">
        <cfvo type="percent" val="0"/>
        <cfvo type="num" val="0.99"/>
        <cfvo type="num" val="1"/>
      </iconSet>
    </cfRule>
  </conditionalFormatting>
  <conditionalFormatting sqref="M140">
    <cfRule type="iconSet" priority="400">
      <iconSet showValue="0">
        <cfvo type="percent" val="0"/>
        <cfvo type="num" val="0.99"/>
        <cfvo type="num" val="1"/>
      </iconSet>
    </cfRule>
  </conditionalFormatting>
  <conditionalFormatting sqref="M143">
    <cfRule type="iconSet" priority="396">
      <iconSet showValue="0">
        <cfvo type="percent" val="0"/>
        <cfvo type="num" val="0.99"/>
        <cfvo type="num" val="1"/>
      </iconSet>
    </cfRule>
  </conditionalFormatting>
  <conditionalFormatting sqref="M151:M181">
    <cfRule type="iconSet" priority="392">
      <iconSet showValue="0">
        <cfvo type="percent" val="0"/>
        <cfvo type="num" val="0.99"/>
        <cfvo type="num" val="1"/>
      </iconSet>
    </cfRule>
  </conditionalFormatting>
  <conditionalFormatting sqref="M186:M216">
    <cfRule type="iconSet" priority="386">
      <iconSet showValue="0">
        <cfvo type="percent" val="0"/>
        <cfvo type="num" val="0.99"/>
        <cfvo type="num" val="1"/>
      </iconSet>
    </cfRule>
  </conditionalFormatting>
  <conditionalFormatting sqref="M221:M251">
    <cfRule type="iconSet" priority="380">
      <iconSet showValue="0">
        <cfvo type="percent" val="0"/>
        <cfvo type="num" val="0.99"/>
        <cfvo type="num" val="1"/>
      </iconSet>
    </cfRule>
  </conditionalFormatting>
  <conditionalFormatting sqref="M65">
    <cfRule type="iconSet" priority="378">
      <iconSet showValue="0">
        <cfvo type="percent" val="0"/>
        <cfvo type="num" val="0.99"/>
        <cfvo type="num" val="1"/>
      </iconSet>
    </cfRule>
  </conditionalFormatting>
  <conditionalFormatting sqref="M79">
    <cfRule type="iconSet" priority="376">
      <iconSet showValue="0">
        <cfvo type="percent" val="0"/>
        <cfvo type="num" val="0.99"/>
        <cfvo type="num" val="1"/>
      </iconSet>
    </cfRule>
  </conditionalFormatting>
  <conditionalFormatting sqref="M77">
    <cfRule type="iconSet" priority="374">
      <iconSet showValue="0">
        <cfvo type="percent" val="0"/>
        <cfvo type="num" val="0.99"/>
        <cfvo type="num" val="1"/>
      </iconSet>
    </cfRule>
  </conditionalFormatting>
  <conditionalFormatting sqref="X6:X11">
    <cfRule type="iconSet" priority="368">
      <iconSet showValue="0">
        <cfvo type="percent" val="0"/>
        <cfvo type="num" val="0.99"/>
        <cfvo type="num" val="1"/>
      </iconSet>
    </cfRule>
  </conditionalFormatting>
  <conditionalFormatting sqref="X17:X21">
    <cfRule type="iconSet" priority="367">
      <iconSet showValue="0">
        <cfvo type="percent" val="0"/>
        <cfvo type="num" val="0.99"/>
        <cfvo type="num" val="1"/>
      </iconSet>
    </cfRule>
  </conditionalFormatting>
  <conditionalFormatting sqref="X16">
    <cfRule type="iconSet" priority="366">
      <iconSet showValue="0">
        <cfvo type="percent" val="0"/>
        <cfvo type="num" val="0.99"/>
        <cfvo type="num" val="1"/>
      </iconSet>
    </cfRule>
  </conditionalFormatting>
  <conditionalFormatting sqref="X28:X31">
    <cfRule type="iconSet" priority="365">
      <iconSet showValue="0">
        <cfvo type="percent" val="0"/>
        <cfvo type="num" val="0.99"/>
        <cfvo type="num" val="1"/>
      </iconSet>
    </cfRule>
  </conditionalFormatting>
  <conditionalFormatting sqref="X26:X27">
    <cfRule type="iconSet" priority="364">
      <iconSet showValue="0">
        <cfvo type="percent" val="0"/>
        <cfvo type="num" val="0.99"/>
        <cfvo type="num" val="1"/>
      </iconSet>
    </cfRule>
  </conditionalFormatting>
  <conditionalFormatting sqref="X63">
    <cfRule type="iconSet" priority="363">
      <iconSet showValue="0">
        <cfvo type="percent" val="0"/>
        <cfvo type="num" val="0.99"/>
        <cfvo type="num" val="1"/>
      </iconSet>
    </cfRule>
  </conditionalFormatting>
  <conditionalFormatting sqref="X64 X66:X67">
    <cfRule type="iconSet" priority="369">
      <iconSet showValue="0">
        <cfvo type="percent" val="0"/>
        <cfvo type="num" val="0.99"/>
        <cfvo type="num" val="1"/>
      </iconSet>
    </cfRule>
  </conditionalFormatting>
  <conditionalFormatting sqref="X70:X72">
    <cfRule type="iconSet" priority="362">
      <iconSet showValue="0">
        <cfvo type="percent" val="0"/>
        <cfvo type="num" val="0.99"/>
        <cfvo type="num" val="1"/>
      </iconSet>
    </cfRule>
  </conditionalFormatting>
  <conditionalFormatting sqref="X78">
    <cfRule type="iconSet" priority="361">
      <iconSet showValue="0">
        <cfvo type="percent" val="0"/>
        <cfvo type="num" val="0.99"/>
        <cfvo type="num" val="1"/>
      </iconSet>
    </cfRule>
  </conditionalFormatting>
  <conditionalFormatting sqref="X69">
    <cfRule type="iconSet" priority="360">
      <iconSet showValue="0">
        <cfvo type="percent" val="0"/>
        <cfvo type="num" val="0.99"/>
        <cfvo type="num" val="1"/>
      </iconSet>
    </cfRule>
  </conditionalFormatting>
  <conditionalFormatting sqref="X68">
    <cfRule type="iconSet" priority="359">
      <iconSet showValue="0">
        <cfvo type="percent" val="0"/>
        <cfvo type="num" val="0.99"/>
        <cfvo type="num" val="1"/>
      </iconSet>
    </cfRule>
  </conditionalFormatting>
  <conditionalFormatting sqref="X83">
    <cfRule type="iconSet" priority="358">
      <iconSet showValue="0">
        <cfvo type="percent" val="0"/>
        <cfvo type="num" val="0.99"/>
        <cfvo type="num" val="1"/>
      </iconSet>
    </cfRule>
  </conditionalFormatting>
  <conditionalFormatting sqref="X82">
    <cfRule type="iconSet" priority="357">
      <iconSet showValue="0">
        <cfvo type="percent" val="0"/>
        <cfvo type="num" val="0.99"/>
        <cfvo type="num" val="1"/>
      </iconSet>
    </cfRule>
  </conditionalFormatting>
  <conditionalFormatting sqref="X81">
    <cfRule type="iconSet" priority="356">
      <iconSet showValue="0">
        <cfvo type="percent" val="0"/>
        <cfvo type="num" val="0.99"/>
        <cfvo type="num" val="1"/>
      </iconSet>
    </cfRule>
  </conditionalFormatting>
  <conditionalFormatting sqref="X80">
    <cfRule type="iconSet" priority="355">
      <iconSet showValue="0">
        <cfvo type="percent" val="0"/>
        <cfvo type="num" val="0.99"/>
        <cfvo type="num" val="1"/>
      </iconSet>
    </cfRule>
  </conditionalFormatting>
  <conditionalFormatting sqref="X84:X86">
    <cfRule type="iconSet" priority="354">
      <iconSet showValue="0">
        <cfvo type="percent" val="0"/>
        <cfvo type="num" val="0.99"/>
        <cfvo type="num" val="1"/>
      </iconSet>
    </cfRule>
  </conditionalFormatting>
  <conditionalFormatting sqref="X114">
    <cfRule type="iconSet" priority="350">
      <iconSet showValue="0">
        <cfvo type="percent" val="0"/>
        <cfvo type="num" val="0.99"/>
        <cfvo type="num" val="1"/>
      </iconSet>
    </cfRule>
  </conditionalFormatting>
  <conditionalFormatting sqref="X115:X117">
    <cfRule type="iconSet" priority="351">
      <iconSet showValue="0">
        <cfvo type="percent" val="0"/>
        <cfvo type="num" val="0.99"/>
        <cfvo type="num" val="1"/>
      </iconSet>
    </cfRule>
  </conditionalFormatting>
  <conditionalFormatting sqref="X125">
    <cfRule type="iconSet" priority="348">
      <iconSet showValue="0">
        <cfvo type="percent" val="0"/>
        <cfvo type="num" val="0.99"/>
        <cfvo type="num" val="1"/>
      </iconSet>
    </cfRule>
  </conditionalFormatting>
  <conditionalFormatting sqref="X134">
    <cfRule type="iconSet" priority="347">
      <iconSet showValue="0">
        <cfvo type="percent" val="0"/>
        <cfvo type="num" val="0.99"/>
        <cfvo type="num" val="1"/>
      </iconSet>
    </cfRule>
  </conditionalFormatting>
  <conditionalFormatting sqref="X135">
    <cfRule type="iconSet" priority="346">
      <iconSet showValue="0">
        <cfvo type="percent" val="0"/>
        <cfvo type="num" val="0.99"/>
        <cfvo type="num" val="1"/>
      </iconSet>
    </cfRule>
  </conditionalFormatting>
  <conditionalFormatting sqref="X140">
    <cfRule type="iconSet" priority="344">
      <iconSet showValue="0">
        <cfvo type="percent" val="0"/>
        <cfvo type="num" val="0.99"/>
        <cfvo type="num" val="1"/>
      </iconSet>
    </cfRule>
  </conditionalFormatting>
  <conditionalFormatting sqref="X143">
    <cfRule type="iconSet" priority="342">
      <iconSet showValue="0">
        <cfvo type="percent" val="0"/>
        <cfvo type="num" val="0.99"/>
        <cfvo type="num" val="1"/>
      </iconSet>
    </cfRule>
  </conditionalFormatting>
  <conditionalFormatting sqref="X151:X181">
    <cfRule type="iconSet" priority="340">
      <iconSet showValue="0">
        <cfvo type="percent" val="0"/>
        <cfvo type="num" val="0.99"/>
        <cfvo type="num" val="1"/>
      </iconSet>
    </cfRule>
  </conditionalFormatting>
  <conditionalFormatting sqref="X186:X216">
    <cfRule type="iconSet" priority="338">
      <iconSet showValue="0">
        <cfvo type="percent" val="0"/>
        <cfvo type="num" val="0.99"/>
        <cfvo type="num" val="1"/>
      </iconSet>
    </cfRule>
  </conditionalFormatting>
  <conditionalFormatting sqref="X221:X251">
    <cfRule type="iconSet" priority="336">
      <iconSet showValue="0">
        <cfvo type="percent" val="0"/>
        <cfvo type="num" val="0.99"/>
        <cfvo type="num" val="1"/>
      </iconSet>
    </cfRule>
  </conditionalFormatting>
  <conditionalFormatting sqref="X65">
    <cfRule type="iconSet" priority="335">
      <iconSet showValue="0">
        <cfvo type="percent" val="0"/>
        <cfvo type="num" val="0.99"/>
        <cfvo type="num" val="1"/>
      </iconSet>
    </cfRule>
  </conditionalFormatting>
  <conditionalFormatting sqref="X79">
    <cfRule type="iconSet" priority="334">
      <iconSet showValue="0">
        <cfvo type="percent" val="0"/>
        <cfvo type="num" val="0.99"/>
        <cfvo type="num" val="1"/>
      </iconSet>
    </cfRule>
  </conditionalFormatting>
  <conditionalFormatting sqref="X77">
    <cfRule type="iconSet" priority="333">
      <iconSet showValue="0">
        <cfvo type="percent" val="0"/>
        <cfvo type="num" val="0.99"/>
        <cfvo type="num" val="1"/>
      </iconSet>
    </cfRule>
  </conditionalFormatting>
  <conditionalFormatting sqref="S16:S21">
    <cfRule type="iconSet" priority="330">
      <iconSet showValue="0">
        <cfvo type="percent" val="0"/>
        <cfvo type="num" val="0.99"/>
        <cfvo type="num" val="1"/>
      </iconSet>
    </cfRule>
  </conditionalFormatting>
  <conditionalFormatting sqref="S26:S31">
    <cfRule type="iconSet" priority="329">
      <iconSet showValue="0">
        <cfvo type="percent" val="0"/>
        <cfvo type="num" val="0.99"/>
        <cfvo type="num" val="1"/>
      </iconSet>
    </cfRule>
  </conditionalFormatting>
  <conditionalFormatting sqref="S63:S64 S66:S67">
    <cfRule type="iconSet" priority="328">
      <iconSet showValue="0">
        <cfvo type="percent" val="0"/>
        <cfvo type="num" val="0.99"/>
        <cfvo type="num" val="1"/>
      </iconSet>
    </cfRule>
  </conditionalFormatting>
  <conditionalFormatting sqref="S70:S72">
    <cfRule type="iconSet" priority="327">
      <iconSet showValue="0">
        <cfvo type="percent" val="0"/>
        <cfvo type="num" val="0.99"/>
        <cfvo type="num" val="1"/>
      </iconSet>
    </cfRule>
  </conditionalFormatting>
  <conditionalFormatting sqref="S69">
    <cfRule type="iconSet" priority="326">
      <iconSet showValue="0">
        <cfvo type="percent" val="0"/>
        <cfvo type="num" val="0.99"/>
        <cfvo type="num" val="1"/>
      </iconSet>
    </cfRule>
  </conditionalFormatting>
  <conditionalFormatting sqref="S68">
    <cfRule type="iconSet" priority="325">
      <iconSet showValue="0">
        <cfvo type="percent" val="0"/>
        <cfvo type="num" val="0.99"/>
        <cfvo type="num" val="1"/>
      </iconSet>
    </cfRule>
  </conditionalFormatting>
  <conditionalFormatting sqref="S65">
    <cfRule type="iconSet" priority="324">
      <iconSet showValue="0">
        <cfvo type="percent" val="0"/>
        <cfvo type="num" val="0.99"/>
        <cfvo type="num" val="1"/>
      </iconSet>
    </cfRule>
  </conditionalFormatting>
  <conditionalFormatting sqref="S78">
    <cfRule type="iconSet" priority="323">
      <iconSet showValue="0">
        <cfvo type="percent" val="0"/>
        <cfvo type="num" val="0.99"/>
        <cfvo type="num" val="1"/>
      </iconSet>
    </cfRule>
  </conditionalFormatting>
  <conditionalFormatting sqref="S83">
    <cfRule type="iconSet" priority="322">
      <iconSet showValue="0">
        <cfvo type="percent" val="0"/>
        <cfvo type="num" val="0.99"/>
        <cfvo type="num" val="1"/>
      </iconSet>
    </cfRule>
  </conditionalFormatting>
  <conditionalFormatting sqref="S82">
    <cfRule type="iconSet" priority="321">
      <iconSet showValue="0">
        <cfvo type="percent" val="0"/>
        <cfvo type="num" val="0.99"/>
        <cfvo type="num" val="1"/>
      </iconSet>
    </cfRule>
  </conditionalFormatting>
  <conditionalFormatting sqref="S81">
    <cfRule type="iconSet" priority="320">
      <iconSet showValue="0">
        <cfvo type="percent" val="0"/>
        <cfvo type="num" val="0.99"/>
        <cfvo type="num" val="1"/>
      </iconSet>
    </cfRule>
  </conditionalFormatting>
  <conditionalFormatting sqref="S80">
    <cfRule type="iconSet" priority="319">
      <iconSet showValue="0">
        <cfvo type="percent" val="0"/>
        <cfvo type="num" val="0.99"/>
        <cfvo type="num" val="1"/>
      </iconSet>
    </cfRule>
  </conditionalFormatting>
  <conditionalFormatting sqref="S84:S86">
    <cfRule type="iconSet" priority="318">
      <iconSet showValue="0">
        <cfvo type="percent" val="0"/>
        <cfvo type="num" val="0.99"/>
        <cfvo type="num" val="1"/>
      </iconSet>
    </cfRule>
  </conditionalFormatting>
  <conditionalFormatting sqref="S79">
    <cfRule type="iconSet" priority="317">
      <iconSet showValue="0">
        <cfvo type="percent" val="0"/>
        <cfvo type="num" val="0.99"/>
        <cfvo type="num" val="1"/>
      </iconSet>
    </cfRule>
  </conditionalFormatting>
  <conditionalFormatting sqref="S77">
    <cfRule type="iconSet" priority="316">
      <iconSet showValue="0">
        <cfvo type="percent" val="0"/>
        <cfvo type="num" val="0.99"/>
        <cfvo type="num" val="1"/>
      </iconSet>
    </cfRule>
  </conditionalFormatting>
  <conditionalFormatting sqref="S114:S117">
    <cfRule type="iconSet" priority="313">
      <iconSet showValue="0">
        <cfvo type="percent" val="0"/>
        <cfvo type="num" val="0.99"/>
        <cfvo type="num" val="1"/>
      </iconSet>
    </cfRule>
  </conditionalFormatting>
  <conditionalFormatting sqref="S125">
    <cfRule type="iconSet" priority="308">
      <iconSet showValue="0">
        <cfvo type="percent" val="0"/>
        <cfvo type="num" val="0.99"/>
        <cfvo type="num" val="1"/>
      </iconSet>
    </cfRule>
  </conditionalFormatting>
  <conditionalFormatting sqref="S134">
    <cfRule type="iconSet" priority="307">
      <iconSet showValue="0">
        <cfvo type="percent" val="0"/>
        <cfvo type="num" val="0.99"/>
        <cfvo type="num" val="1"/>
      </iconSet>
    </cfRule>
  </conditionalFormatting>
  <conditionalFormatting sqref="S135">
    <cfRule type="iconSet" priority="306">
      <iconSet showValue="0">
        <cfvo type="percent" val="0"/>
        <cfvo type="num" val="0.99"/>
        <cfvo type="num" val="1"/>
      </iconSet>
    </cfRule>
  </conditionalFormatting>
  <conditionalFormatting sqref="S140">
    <cfRule type="iconSet" priority="304">
      <iconSet showValue="0">
        <cfvo type="percent" val="0"/>
        <cfvo type="num" val="0.99"/>
        <cfvo type="num" val="1"/>
      </iconSet>
    </cfRule>
  </conditionalFormatting>
  <conditionalFormatting sqref="S143">
    <cfRule type="iconSet" priority="302">
      <iconSet showValue="0">
        <cfvo type="percent" val="0"/>
        <cfvo type="num" val="0.99"/>
        <cfvo type="num" val="1"/>
      </iconSet>
    </cfRule>
  </conditionalFormatting>
  <conditionalFormatting sqref="S151:S181">
    <cfRule type="iconSet" priority="300">
      <iconSet showValue="0">
        <cfvo type="percent" val="0"/>
        <cfvo type="num" val="0.99"/>
        <cfvo type="num" val="1"/>
      </iconSet>
    </cfRule>
  </conditionalFormatting>
  <conditionalFormatting sqref="S186:S216">
    <cfRule type="iconSet" priority="298">
      <iconSet showValue="0">
        <cfvo type="percent" val="0"/>
        <cfvo type="num" val="0.99"/>
        <cfvo type="num" val="1"/>
      </iconSet>
    </cfRule>
  </conditionalFormatting>
  <conditionalFormatting sqref="S221:S251">
    <cfRule type="iconSet" priority="296">
      <iconSet showValue="0">
        <cfvo type="percent" val="0"/>
        <cfvo type="num" val="0.99"/>
        <cfvo type="num" val="1"/>
      </iconSet>
    </cfRule>
  </conditionalFormatting>
  <conditionalFormatting sqref="M94:M95 M97:M106">
    <cfRule type="iconSet" priority="503">
      <iconSet showValue="0">
        <cfvo type="percent" val="0"/>
        <cfvo type="num" val="0.99"/>
        <cfvo type="num" val="1"/>
      </iconSet>
    </cfRule>
  </conditionalFormatting>
  <conditionalFormatting sqref="X94:X95 X97:X106">
    <cfRule type="iconSet" priority="505">
      <iconSet showValue="0">
        <cfvo type="percent" val="0"/>
        <cfvo type="num" val="0.99"/>
        <cfvo type="num" val="1"/>
      </iconSet>
    </cfRule>
  </conditionalFormatting>
  <conditionalFormatting sqref="S94:S95 S97:S106">
    <cfRule type="iconSet" priority="507">
      <iconSet showValue="0">
        <cfvo type="percent" val="0"/>
        <cfvo type="num" val="0.99"/>
        <cfvo type="num" val="1"/>
      </iconSet>
    </cfRule>
  </conditionalFormatting>
  <conditionalFormatting sqref="X12">
    <cfRule type="iconSet" priority="294">
      <iconSet showValue="0">
        <cfvo type="percent" val="0"/>
        <cfvo type="num" val="0.99"/>
        <cfvo type="num" val="1"/>
      </iconSet>
    </cfRule>
  </conditionalFormatting>
  <conditionalFormatting sqref="M42">
    <cfRule type="iconSet" priority="289">
      <iconSet showValue="0">
        <cfvo type="percent" val="0"/>
        <cfvo type="num" val="0.99"/>
        <cfvo type="num" val="1"/>
      </iconSet>
    </cfRule>
  </conditionalFormatting>
  <conditionalFormatting sqref="X42">
    <cfRule type="iconSet" priority="288">
      <iconSet showValue="0">
        <cfvo type="percent" val="0"/>
        <cfvo type="num" val="0.99"/>
        <cfvo type="num" val="1"/>
      </iconSet>
    </cfRule>
  </conditionalFormatting>
  <conditionalFormatting sqref="S42">
    <cfRule type="iconSet" priority="287">
      <iconSet showValue="0">
        <cfvo type="percent" val="0"/>
        <cfvo type="num" val="0.99"/>
        <cfvo type="num" val="1"/>
      </iconSet>
    </cfRule>
  </conditionalFormatting>
  <conditionalFormatting sqref="M6:M11">
    <cfRule type="iconSet" priority="254">
      <iconSet showValue="0">
        <cfvo type="percent" val="0"/>
        <cfvo type="num" val="0.99"/>
        <cfvo type="num" val="1"/>
      </iconSet>
    </cfRule>
  </conditionalFormatting>
  <conditionalFormatting sqref="M12">
    <cfRule type="iconSet" priority="253">
      <iconSet showValue="0">
        <cfvo type="percent" val="0"/>
        <cfvo type="num" val="0.99"/>
        <cfvo type="num" val="1"/>
      </iconSet>
    </cfRule>
  </conditionalFormatting>
  <conditionalFormatting sqref="S6:S11">
    <cfRule type="iconSet" priority="252">
      <iconSet showValue="0">
        <cfvo type="percent" val="0"/>
        <cfvo type="num" val="0.99"/>
        <cfvo type="num" val="1"/>
      </iconSet>
    </cfRule>
  </conditionalFormatting>
  <conditionalFormatting sqref="S12">
    <cfRule type="iconSet" priority="251">
      <iconSet showValue="0">
        <cfvo type="percent" val="0"/>
        <cfvo type="num" val="0.99"/>
        <cfvo type="num" val="1"/>
      </iconSet>
    </cfRule>
  </conditionalFormatting>
  <conditionalFormatting sqref="AB16:AB21">
    <cfRule type="iconSet" priority="248">
      <iconSet showValue="0">
        <cfvo type="percent" val="0"/>
        <cfvo type="num" val="0.99"/>
        <cfvo type="num" val="1"/>
      </iconSet>
    </cfRule>
  </conditionalFormatting>
  <conditionalFormatting sqref="AB26:AB31">
    <cfRule type="iconSet" priority="247">
      <iconSet showValue="0">
        <cfvo type="percent" val="0"/>
        <cfvo type="num" val="0.99"/>
        <cfvo type="num" val="1"/>
      </iconSet>
    </cfRule>
  </conditionalFormatting>
  <conditionalFormatting sqref="AB66:AB67 AB63">
    <cfRule type="iconSet" priority="249">
      <iconSet showValue="0">
        <cfvo type="percent" val="0"/>
        <cfvo type="num" val="0.99"/>
        <cfvo type="num" val="1"/>
      </iconSet>
    </cfRule>
  </conditionalFormatting>
  <conditionalFormatting sqref="AB72:AC72 AB70:AB71">
    <cfRule type="iconSet" priority="246">
      <iconSet showValue="0">
        <cfvo type="percent" val="0"/>
        <cfvo type="num" val="0.99"/>
        <cfvo type="num" val="1"/>
      </iconSet>
    </cfRule>
  </conditionalFormatting>
  <conditionalFormatting sqref="AB78">
    <cfRule type="iconSet" priority="245">
      <iconSet showValue="0">
        <cfvo type="percent" val="0"/>
        <cfvo type="num" val="0.99"/>
        <cfvo type="num" val="1"/>
      </iconSet>
    </cfRule>
  </conditionalFormatting>
  <conditionalFormatting sqref="AB69">
    <cfRule type="iconSet" priority="244">
      <iconSet showValue="0">
        <cfvo type="percent" val="0"/>
        <cfvo type="num" val="0.99"/>
        <cfvo type="num" val="1"/>
      </iconSet>
    </cfRule>
  </conditionalFormatting>
  <conditionalFormatting sqref="AB68">
    <cfRule type="iconSet" priority="243">
      <iconSet showValue="0">
        <cfvo type="percent" val="0"/>
        <cfvo type="num" val="0.99"/>
        <cfvo type="num" val="1"/>
      </iconSet>
    </cfRule>
  </conditionalFormatting>
  <conditionalFormatting sqref="AB83">
    <cfRule type="iconSet" priority="242">
      <iconSet showValue="0">
        <cfvo type="percent" val="0"/>
        <cfvo type="num" val="0.99"/>
        <cfvo type="num" val="1"/>
      </iconSet>
    </cfRule>
  </conditionalFormatting>
  <conditionalFormatting sqref="AB82">
    <cfRule type="iconSet" priority="241">
      <iconSet showValue="0">
        <cfvo type="percent" val="0"/>
        <cfvo type="num" val="0.99"/>
        <cfvo type="num" val="1"/>
      </iconSet>
    </cfRule>
  </conditionalFormatting>
  <conditionalFormatting sqref="AB81">
    <cfRule type="iconSet" priority="240">
      <iconSet showValue="0">
        <cfvo type="percent" val="0"/>
        <cfvo type="num" val="0.99"/>
        <cfvo type="num" val="1"/>
      </iconSet>
    </cfRule>
  </conditionalFormatting>
  <conditionalFormatting sqref="AB80">
    <cfRule type="iconSet" priority="239">
      <iconSet showValue="0">
        <cfvo type="percent" val="0"/>
        <cfvo type="num" val="0.99"/>
        <cfvo type="num" val="1"/>
      </iconSet>
    </cfRule>
  </conditionalFormatting>
  <conditionalFormatting sqref="AB84:AB86">
    <cfRule type="iconSet" priority="238">
      <iconSet showValue="0">
        <cfvo type="percent" val="0"/>
        <cfvo type="num" val="0.99"/>
        <cfvo type="num" val="1"/>
      </iconSet>
    </cfRule>
  </conditionalFormatting>
  <conditionalFormatting sqref="AB114:AB117">
    <cfRule type="iconSet" priority="237">
      <iconSet showValue="0">
        <cfvo type="percent" val="0"/>
        <cfvo type="num" val="0.99"/>
        <cfvo type="num" val="1"/>
      </iconSet>
    </cfRule>
  </conditionalFormatting>
  <conditionalFormatting sqref="AB125">
    <cfRule type="iconSet" priority="235">
      <iconSet showValue="0">
        <cfvo type="percent" val="0"/>
        <cfvo type="num" val="0.99"/>
        <cfvo type="num" val="1"/>
      </iconSet>
    </cfRule>
  </conditionalFormatting>
  <conditionalFormatting sqref="AB134">
    <cfRule type="iconSet" priority="234">
      <iconSet showValue="0">
        <cfvo type="percent" val="0"/>
        <cfvo type="num" val="0.99"/>
        <cfvo type="num" val="1"/>
      </iconSet>
    </cfRule>
  </conditionalFormatting>
  <conditionalFormatting sqref="AB135">
    <cfRule type="iconSet" priority="233">
      <iconSet showValue="0">
        <cfvo type="percent" val="0"/>
        <cfvo type="num" val="0.99"/>
        <cfvo type="num" val="1"/>
      </iconSet>
    </cfRule>
  </conditionalFormatting>
  <conditionalFormatting sqref="AB140">
    <cfRule type="iconSet" priority="232">
      <iconSet showValue="0">
        <cfvo type="percent" val="0"/>
        <cfvo type="num" val="0.99"/>
        <cfvo type="num" val="1"/>
      </iconSet>
    </cfRule>
  </conditionalFormatting>
  <conditionalFormatting sqref="AB143">
    <cfRule type="iconSet" priority="230">
      <iconSet showValue="0">
        <cfvo type="percent" val="0"/>
        <cfvo type="num" val="0.99"/>
        <cfvo type="num" val="1"/>
      </iconSet>
    </cfRule>
  </conditionalFormatting>
  <conditionalFormatting sqref="AB151:AB181">
    <cfRule type="iconSet" priority="229">
      <iconSet showValue="0">
        <cfvo type="percent" val="0"/>
        <cfvo type="num" val="0.99"/>
        <cfvo type="num" val="1"/>
      </iconSet>
    </cfRule>
  </conditionalFormatting>
  <conditionalFormatting sqref="AB186:AB216">
    <cfRule type="iconSet" priority="228">
      <iconSet showValue="0">
        <cfvo type="percent" val="0"/>
        <cfvo type="num" val="0.99"/>
        <cfvo type="num" val="1"/>
      </iconSet>
    </cfRule>
  </conditionalFormatting>
  <conditionalFormatting sqref="AB251:AC251 AB224:AB250 AB221:AC223">
    <cfRule type="iconSet" priority="227">
      <iconSet showValue="0">
        <cfvo type="percent" val="0"/>
        <cfvo type="num" val="0.99"/>
        <cfvo type="num" val="1"/>
      </iconSet>
    </cfRule>
  </conditionalFormatting>
  <conditionalFormatting sqref="AB65">
    <cfRule type="iconSet" priority="226">
      <iconSet showValue="0">
        <cfvo type="percent" val="0"/>
        <cfvo type="num" val="0.99"/>
        <cfvo type="num" val="1"/>
      </iconSet>
    </cfRule>
  </conditionalFormatting>
  <conditionalFormatting sqref="AB79">
    <cfRule type="iconSet" priority="225">
      <iconSet showValue="0">
        <cfvo type="percent" val="0"/>
        <cfvo type="num" val="0.99"/>
        <cfvo type="num" val="1"/>
      </iconSet>
    </cfRule>
  </conditionalFormatting>
  <conditionalFormatting sqref="AB77">
    <cfRule type="iconSet" priority="224">
      <iconSet showValue="0">
        <cfvo type="percent" val="0"/>
        <cfvo type="num" val="0.99"/>
        <cfvo type="num" val="1"/>
      </iconSet>
    </cfRule>
  </conditionalFormatting>
  <conditionalFormatting sqref="AB94:AB95 AB97:AB106">
    <cfRule type="iconSet" priority="250">
      <iconSet showValue="0">
        <cfvo type="percent" val="0"/>
        <cfvo type="num" val="0.99"/>
        <cfvo type="num" val="1"/>
      </iconSet>
    </cfRule>
  </conditionalFormatting>
  <conditionalFormatting sqref="AB42">
    <cfRule type="iconSet" priority="222">
      <iconSet showValue="0">
        <cfvo type="percent" val="0"/>
        <cfvo type="num" val="0.99"/>
        <cfvo type="num" val="1"/>
      </iconSet>
    </cfRule>
  </conditionalFormatting>
  <conditionalFormatting sqref="AB6:AB11">
    <cfRule type="iconSet" priority="211">
      <iconSet showValue="0">
        <cfvo type="percent" val="0"/>
        <cfvo type="num" val="0.99"/>
        <cfvo type="num" val="1"/>
      </iconSet>
    </cfRule>
  </conditionalFormatting>
  <conditionalFormatting sqref="AB12">
    <cfRule type="iconSet" priority="210">
      <iconSet showValue="0">
        <cfvo type="percent" val="0"/>
        <cfvo type="num" val="0.99"/>
        <cfvo type="num" val="1"/>
      </iconSet>
    </cfRule>
  </conditionalFormatting>
  <conditionalFormatting sqref="AF16:AF21">
    <cfRule type="iconSet" priority="208">
      <iconSet showValue="0">
        <cfvo type="percent" val="0"/>
        <cfvo type="num" val="0.99"/>
        <cfvo type="num" val="1"/>
      </iconSet>
    </cfRule>
  </conditionalFormatting>
  <conditionalFormatting sqref="AF26:AF31">
    <cfRule type="iconSet" priority="207">
      <iconSet showValue="0">
        <cfvo type="percent" val="0"/>
        <cfvo type="num" val="0.99"/>
        <cfvo type="num" val="1"/>
      </iconSet>
    </cfRule>
  </conditionalFormatting>
  <conditionalFormatting sqref="AF63:AF64 AF66:AF67">
    <cfRule type="iconSet" priority="206">
      <iconSet showValue="0">
        <cfvo type="percent" val="0"/>
        <cfvo type="num" val="0.99"/>
        <cfvo type="num" val="1"/>
      </iconSet>
    </cfRule>
  </conditionalFormatting>
  <conditionalFormatting sqref="AF70:AF72">
    <cfRule type="iconSet" priority="205">
      <iconSet showValue="0">
        <cfvo type="percent" val="0"/>
        <cfvo type="num" val="0.99"/>
        <cfvo type="num" val="1"/>
      </iconSet>
    </cfRule>
  </conditionalFormatting>
  <conditionalFormatting sqref="AF69">
    <cfRule type="iconSet" priority="204">
      <iconSet showValue="0">
        <cfvo type="percent" val="0"/>
        <cfvo type="num" val="0.99"/>
        <cfvo type="num" val="1"/>
      </iconSet>
    </cfRule>
  </conditionalFormatting>
  <conditionalFormatting sqref="AF68">
    <cfRule type="iconSet" priority="203">
      <iconSet showValue="0">
        <cfvo type="percent" val="0"/>
        <cfvo type="num" val="0.99"/>
        <cfvo type="num" val="1"/>
      </iconSet>
    </cfRule>
  </conditionalFormatting>
  <conditionalFormatting sqref="AF65">
    <cfRule type="iconSet" priority="202">
      <iconSet showValue="0">
        <cfvo type="percent" val="0"/>
        <cfvo type="num" val="0.99"/>
        <cfvo type="num" val="1"/>
      </iconSet>
    </cfRule>
  </conditionalFormatting>
  <conditionalFormatting sqref="AF78">
    <cfRule type="iconSet" priority="201">
      <iconSet showValue="0">
        <cfvo type="percent" val="0"/>
        <cfvo type="num" val="0.99"/>
        <cfvo type="num" val="1"/>
      </iconSet>
    </cfRule>
  </conditionalFormatting>
  <conditionalFormatting sqref="AF83">
    <cfRule type="iconSet" priority="200">
      <iconSet showValue="0">
        <cfvo type="percent" val="0"/>
        <cfvo type="num" val="0.99"/>
        <cfvo type="num" val="1"/>
      </iconSet>
    </cfRule>
  </conditionalFormatting>
  <conditionalFormatting sqref="AF82">
    <cfRule type="iconSet" priority="199">
      <iconSet showValue="0">
        <cfvo type="percent" val="0"/>
        <cfvo type="num" val="0.99"/>
        <cfvo type="num" val="1"/>
      </iconSet>
    </cfRule>
  </conditionalFormatting>
  <conditionalFormatting sqref="AF81">
    <cfRule type="iconSet" priority="198">
      <iconSet showValue="0">
        <cfvo type="percent" val="0"/>
        <cfvo type="num" val="0.99"/>
        <cfvo type="num" val="1"/>
      </iconSet>
    </cfRule>
  </conditionalFormatting>
  <conditionalFormatting sqref="AF80">
    <cfRule type="iconSet" priority="197">
      <iconSet showValue="0">
        <cfvo type="percent" val="0"/>
        <cfvo type="num" val="0.99"/>
        <cfvo type="num" val="1"/>
      </iconSet>
    </cfRule>
  </conditionalFormatting>
  <conditionalFormatting sqref="AF84:AF86">
    <cfRule type="iconSet" priority="196">
      <iconSet showValue="0">
        <cfvo type="percent" val="0"/>
        <cfvo type="num" val="0.99"/>
        <cfvo type="num" val="1"/>
      </iconSet>
    </cfRule>
  </conditionalFormatting>
  <conditionalFormatting sqref="AF79">
    <cfRule type="iconSet" priority="195">
      <iconSet showValue="0">
        <cfvo type="percent" val="0"/>
        <cfvo type="num" val="0.99"/>
        <cfvo type="num" val="1"/>
      </iconSet>
    </cfRule>
  </conditionalFormatting>
  <conditionalFormatting sqref="AF77">
    <cfRule type="iconSet" priority="194">
      <iconSet showValue="0">
        <cfvo type="percent" val="0"/>
        <cfvo type="num" val="0.99"/>
        <cfvo type="num" val="1"/>
      </iconSet>
    </cfRule>
  </conditionalFormatting>
  <conditionalFormatting sqref="AF114:AF117">
    <cfRule type="iconSet" priority="193">
      <iconSet showValue="0">
        <cfvo type="percent" val="0"/>
        <cfvo type="num" val="0.99"/>
        <cfvo type="num" val="1"/>
      </iconSet>
    </cfRule>
  </conditionalFormatting>
  <conditionalFormatting sqref="AF125">
    <cfRule type="iconSet" priority="191">
      <iconSet showValue="0">
        <cfvo type="percent" val="0"/>
        <cfvo type="num" val="0.99"/>
        <cfvo type="num" val="1"/>
      </iconSet>
    </cfRule>
  </conditionalFormatting>
  <conditionalFormatting sqref="AF134">
    <cfRule type="iconSet" priority="190">
      <iconSet showValue="0">
        <cfvo type="percent" val="0"/>
        <cfvo type="num" val="0.99"/>
        <cfvo type="num" val="1"/>
      </iconSet>
    </cfRule>
  </conditionalFormatting>
  <conditionalFormatting sqref="AF135">
    <cfRule type="iconSet" priority="189">
      <iconSet showValue="0">
        <cfvo type="percent" val="0"/>
        <cfvo type="num" val="0.99"/>
        <cfvo type="num" val="1"/>
      </iconSet>
    </cfRule>
  </conditionalFormatting>
  <conditionalFormatting sqref="AF140">
    <cfRule type="iconSet" priority="188">
      <iconSet showValue="0">
        <cfvo type="percent" val="0"/>
        <cfvo type="num" val="0.99"/>
        <cfvo type="num" val="1"/>
      </iconSet>
    </cfRule>
  </conditionalFormatting>
  <conditionalFormatting sqref="AF143">
    <cfRule type="iconSet" priority="186">
      <iconSet showValue="0">
        <cfvo type="percent" val="0"/>
        <cfvo type="num" val="0.99"/>
        <cfvo type="num" val="1"/>
      </iconSet>
    </cfRule>
  </conditionalFormatting>
  <conditionalFormatting sqref="AF151:AF181">
    <cfRule type="iconSet" priority="185">
      <iconSet showValue="0">
        <cfvo type="percent" val="0"/>
        <cfvo type="num" val="0.99"/>
        <cfvo type="num" val="1"/>
      </iconSet>
    </cfRule>
  </conditionalFormatting>
  <conditionalFormatting sqref="AF186:AF216">
    <cfRule type="iconSet" priority="184">
      <iconSet showValue="0">
        <cfvo type="percent" val="0"/>
        <cfvo type="num" val="0.99"/>
        <cfvo type="num" val="1"/>
      </iconSet>
    </cfRule>
  </conditionalFormatting>
  <conditionalFormatting sqref="AF221:AF251">
    <cfRule type="iconSet" priority="183">
      <iconSet showValue="0">
        <cfvo type="percent" val="0"/>
        <cfvo type="num" val="0.99"/>
        <cfvo type="num" val="1"/>
      </iconSet>
    </cfRule>
  </conditionalFormatting>
  <conditionalFormatting sqref="AF94:AF95 AF97:AF106">
    <cfRule type="iconSet" priority="209">
      <iconSet showValue="0">
        <cfvo type="percent" val="0"/>
        <cfvo type="num" val="0.99"/>
        <cfvo type="num" val="1"/>
      </iconSet>
    </cfRule>
  </conditionalFormatting>
  <conditionalFormatting sqref="AF42">
    <cfRule type="iconSet" priority="181">
      <iconSet showValue="0">
        <cfvo type="percent" val="0"/>
        <cfvo type="num" val="0.99"/>
        <cfvo type="num" val="1"/>
      </iconSet>
    </cfRule>
  </conditionalFormatting>
  <conditionalFormatting sqref="AF6:AF11">
    <cfRule type="iconSet" priority="170">
      <iconSet showValue="0">
        <cfvo type="percent" val="0"/>
        <cfvo type="num" val="0.99"/>
        <cfvo type="num" val="1"/>
      </iconSet>
    </cfRule>
  </conditionalFormatting>
  <conditionalFormatting sqref="AF12">
    <cfRule type="iconSet" priority="169">
      <iconSet showValue="0">
        <cfvo type="percent" val="0"/>
        <cfvo type="num" val="0.99"/>
        <cfvo type="num" val="1"/>
      </iconSet>
    </cfRule>
  </conditionalFormatting>
  <conditionalFormatting sqref="AB64">
    <cfRule type="iconSet" priority="168">
      <iconSet showValue="0">
        <cfvo type="percent" val="0"/>
        <cfvo type="num" val="0.99"/>
        <cfvo type="num" val="1"/>
      </iconSet>
    </cfRule>
  </conditionalFormatting>
  <conditionalFormatting sqref="M141:M142">
    <cfRule type="iconSet" priority="508">
      <iconSet showValue="0">
        <cfvo type="percent" val="0"/>
        <cfvo type="num" val="0.99"/>
        <cfvo type="num" val="1"/>
      </iconSet>
    </cfRule>
  </conditionalFormatting>
  <conditionalFormatting sqref="X141:X142">
    <cfRule type="iconSet" priority="510">
      <iconSet showValue="0">
        <cfvo type="percent" val="0"/>
        <cfvo type="num" val="0.99"/>
        <cfvo type="num" val="1"/>
      </iconSet>
    </cfRule>
  </conditionalFormatting>
  <conditionalFormatting sqref="S141:S142">
    <cfRule type="iconSet" priority="512">
      <iconSet showValue="0">
        <cfvo type="percent" val="0"/>
        <cfvo type="num" val="0.99"/>
        <cfvo type="num" val="1"/>
      </iconSet>
    </cfRule>
  </conditionalFormatting>
  <conditionalFormatting sqref="AB141:AB142">
    <cfRule type="iconSet" priority="514">
      <iconSet showValue="0">
        <cfvo type="percent" val="0"/>
        <cfvo type="num" val="0.99"/>
        <cfvo type="num" val="1"/>
      </iconSet>
    </cfRule>
  </conditionalFormatting>
  <conditionalFormatting sqref="AF141:AF142">
    <cfRule type="iconSet" priority="516">
      <iconSet showValue="0">
        <cfvo type="percent" val="0"/>
        <cfvo type="num" val="0.99"/>
        <cfvo type="num" val="1"/>
      </iconSet>
    </cfRule>
  </conditionalFormatting>
  <conditionalFormatting sqref="M126:M129">
    <cfRule type="iconSet" priority="517">
      <iconSet showValue="0">
        <cfvo type="percent" val="0"/>
        <cfvo type="num" val="0.99"/>
        <cfvo type="num" val="1"/>
      </iconSet>
    </cfRule>
  </conditionalFormatting>
  <conditionalFormatting sqref="X126:X129">
    <cfRule type="iconSet" priority="519">
      <iconSet showValue="0">
        <cfvo type="percent" val="0"/>
        <cfvo type="num" val="0.99"/>
        <cfvo type="num" val="1"/>
      </iconSet>
    </cfRule>
  </conditionalFormatting>
  <conditionalFormatting sqref="S126:S129">
    <cfRule type="iconSet" priority="521">
      <iconSet showValue="0">
        <cfvo type="percent" val="0"/>
        <cfvo type="num" val="0.99"/>
        <cfvo type="num" val="1"/>
      </iconSet>
    </cfRule>
  </conditionalFormatting>
  <conditionalFormatting sqref="AB126:AB129">
    <cfRule type="iconSet" priority="523">
      <iconSet showValue="0">
        <cfvo type="percent" val="0"/>
        <cfvo type="num" val="0.99"/>
        <cfvo type="num" val="1"/>
      </iconSet>
    </cfRule>
  </conditionalFormatting>
  <conditionalFormatting sqref="AF126:AF129">
    <cfRule type="iconSet" priority="525">
      <iconSet showValue="0">
        <cfvo type="percent" val="0"/>
        <cfvo type="num" val="0.99"/>
        <cfvo type="num" val="1"/>
      </iconSet>
    </cfRule>
  </conditionalFormatting>
  <conditionalFormatting sqref="M49:M50 M52:M53">
    <cfRule type="iconSet" priority="167">
      <iconSet showValue="0">
        <cfvo type="percent" val="0"/>
        <cfvo type="num" val="0.99"/>
        <cfvo type="num" val="1"/>
      </iconSet>
    </cfRule>
  </conditionalFormatting>
  <conditionalFormatting sqref="M56:M58">
    <cfRule type="iconSet" priority="166">
      <iconSet showValue="0">
        <cfvo type="percent" val="0"/>
        <cfvo type="num" val="0.99"/>
        <cfvo type="num" val="1"/>
      </iconSet>
    </cfRule>
  </conditionalFormatting>
  <conditionalFormatting sqref="M55">
    <cfRule type="iconSet" priority="165">
      <iconSet showValue="0">
        <cfvo type="percent" val="0"/>
        <cfvo type="num" val="0.99"/>
        <cfvo type="num" val="1"/>
      </iconSet>
    </cfRule>
  </conditionalFormatting>
  <conditionalFormatting sqref="M54">
    <cfRule type="iconSet" priority="164">
      <iconSet showValue="0">
        <cfvo type="percent" val="0"/>
        <cfvo type="num" val="0.99"/>
        <cfvo type="num" val="1"/>
      </iconSet>
    </cfRule>
  </conditionalFormatting>
  <conditionalFormatting sqref="M51">
    <cfRule type="iconSet" priority="163">
      <iconSet showValue="0">
        <cfvo type="percent" val="0"/>
        <cfvo type="num" val="0.99"/>
        <cfvo type="num" val="1"/>
      </iconSet>
    </cfRule>
  </conditionalFormatting>
  <conditionalFormatting sqref="X49">
    <cfRule type="iconSet" priority="161">
      <iconSet showValue="0">
        <cfvo type="percent" val="0"/>
        <cfvo type="num" val="0.99"/>
        <cfvo type="num" val="1"/>
      </iconSet>
    </cfRule>
  </conditionalFormatting>
  <conditionalFormatting sqref="X50 X52:X53">
    <cfRule type="iconSet" priority="162">
      <iconSet showValue="0">
        <cfvo type="percent" val="0"/>
        <cfvo type="num" val="0.99"/>
        <cfvo type="num" val="1"/>
      </iconSet>
    </cfRule>
  </conditionalFormatting>
  <conditionalFormatting sqref="X56:X58">
    <cfRule type="iconSet" priority="160">
      <iconSet showValue="0">
        <cfvo type="percent" val="0"/>
        <cfvo type="num" val="0.99"/>
        <cfvo type="num" val="1"/>
      </iconSet>
    </cfRule>
  </conditionalFormatting>
  <conditionalFormatting sqref="X55">
    <cfRule type="iconSet" priority="159">
      <iconSet showValue="0">
        <cfvo type="percent" val="0"/>
        <cfvo type="num" val="0.99"/>
        <cfvo type="num" val="1"/>
      </iconSet>
    </cfRule>
  </conditionalFormatting>
  <conditionalFormatting sqref="X54">
    <cfRule type="iconSet" priority="158">
      <iconSet showValue="0">
        <cfvo type="percent" val="0"/>
        <cfvo type="num" val="0.99"/>
        <cfvo type="num" val="1"/>
      </iconSet>
    </cfRule>
  </conditionalFormatting>
  <conditionalFormatting sqref="X51">
    <cfRule type="iconSet" priority="157">
      <iconSet showValue="0">
        <cfvo type="percent" val="0"/>
        <cfvo type="num" val="0.99"/>
        <cfvo type="num" val="1"/>
      </iconSet>
    </cfRule>
  </conditionalFormatting>
  <conditionalFormatting sqref="S49:S50 S52:S53">
    <cfRule type="iconSet" priority="156">
      <iconSet showValue="0">
        <cfvo type="percent" val="0"/>
        <cfvo type="num" val="0.99"/>
        <cfvo type="num" val="1"/>
      </iconSet>
    </cfRule>
  </conditionalFormatting>
  <conditionalFormatting sqref="S56:S58">
    <cfRule type="iconSet" priority="155">
      <iconSet showValue="0">
        <cfvo type="percent" val="0"/>
        <cfvo type="num" val="0.99"/>
        <cfvo type="num" val="1"/>
      </iconSet>
    </cfRule>
  </conditionalFormatting>
  <conditionalFormatting sqref="S55">
    <cfRule type="iconSet" priority="154">
      <iconSet showValue="0">
        <cfvo type="percent" val="0"/>
        <cfvo type="num" val="0.99"/>
        <cfvo type="num" val="1"/>
      </iconSet>
    </cfRule>
  </conditionalFormatting>
  <conditionalFormatting sqref="S54">
    <cfRule type="iconSet" priority="153">
      <iconSet showValue="0">
        <cfvo type="percent" val="0"/>
        <cfvo type="num" val="0.99"/>
        <cfvo type="num" val="1"/>
      </iconSet>
    </cfRule>
  </conditionalFormatting>
  <conditionalFormatting sqref="S51">
    <cfRule type="iconSet" priority="152">
      <iconSet showValue="0">
        <cfvo type="percent" val="0"/>
        <cfvo type="num" val="0.99"/>
        <cfvo type="num" val="1"/>
      </iconSet>
    </cfRule>
  </conditionalFormatting>
  <conditionalFormatting sqref="AB49 AB52:AB53">
    <cfRule type="iconSet" priority="148">
      <iconSet showValue="0">
        <cfvo type="percent" val="0"/>
        <cfvo type="num" val="0.99"/>
        <cfvo type="num" val="1"/>
      </iconSet>
    </cfRule>
  </conditionalFormatting>
  <conditionalFormatting sqref="AB56:AB58">
    <cfRule type="iconSet" priority="147">
      <iconSet showValue="0">
        <cfvo type="percent" val="0"/>
        <cfvo type="num" val="0.99"/>
        <cfvo type="num" val="1"/>
      </iconSet>
    </cfRule>
  </conditionalFormatting>
  <conditionalFormatting sqref="AB55">
    <cfRule type="iconSet" priority="146">
      <iconSet showValue="0">
        <cfvo type="percent" val="0"/>
        <cfvo type="num" val="0.99"/>
        <cfvo type="num" val="1"/>
      </iconSet>
    </cfRule>
  </conditionalFormatting>
  <conditionalFormatting sqref="AB54">
    <cfRule type="iconSet" priority="145">
      <iconSet showValue="0">
        <cfvo type="percent" val="0"/>
        <cfvo type="num" val="0.99"/>
        <cfvo type="num" val="1"/>
      </iconSet>
    </cfRule>
  </conditionalFormatting>
  <conditionalFormatting sqref="AB51">
    <cfRule type="iconSet" priority="144">
      <iconSet showValue="0">
        <cfvo type="percent" val="0"/>
        <cfvo type="num" val="0.99"/>
        <cfvo type="num" val="1"/>
      </iconSet>
    </cfRule>
  </conditionalFormatting>
  <conditionalFormatting sqref="AF49:AF50 AF52:AF53">
    <cfRule type="iconSet" priority="142">
      <iconSet showValue="0">
        <cfvo type="percent" val="0"/>
        <cfvo type="num" val="0.99"/>
        <cfvo type="num" val="1"/>
      </iconSet>
    </cfRule>
  </conditionalFormatting>
  <conditionalFormatting sqref="AF56:AF58">
    <cfRule type="iconSet" priority="141">
      <iconSet showValue="0">
        <cfvo type="percent" val="0"/>
        <cfvo type="num" val="0.99"/>
        <cfvo type="num" val="1"/>
      </iconSet>
    </cfRule>
  </conditionalFormatting>
  <conditionalFormatting sqref="AF55">
    <cfRule type="iconSet" priority="140">
      <iconSet showValue="0">
        <cfvo type="percent" val="0"/>
        <cfvo type="num" val="0.99"/>
        <cfvo type="num" val="1"/>
      </iconSet>
    </cfRule>
  </conditionalFormatting>
  <conditionalFormatting sqref="AF54">
    <cfRule type="iconSet" priority="139">
      <iconSet showValue="0">
        <cfvo type="percent" val="0"/>
        <cfvo type="num" val="0.99"/>
        <cfvo type="num" val="1"/>
      </iconSet>
    </cfRule>
  </conditionalFormatting>
  <conditionalFormatting sqref="AF51">
    <cfRule type="iconSet" priority="138">
      <iconSet showValue="0">
        <cfvo type="percent" val="0"/>
        <cfvo type="num" val="0.99"/>
        <cfvo type="num" val="1"/>
      </iconSet>
    </cfRule>
  </conditionalFormatting>
  <conditionalFormatting sqref="AB50">
    <cfRule type="iconSet" priority="136">
      <iconSet showValue="0">
        <cfvo type="percent" val="0"/>
        <cfvo type="num" val="0.99"/>
        <cfvo type="num" val="1"/>
      </iconSet>
    </cfRule>
  </conditionalFormatting>
  <conditionalFormatting sqref="X36:X38">
    <cfRule type="iconSet" priority="128">
      <iconSet showValue="0">
        <cfvo type="percent" val="0"/>
        <cfvo type="num" val="0.99"/>
        <cfvo type="num" val="1"/>
      </iconSet>
    </cfRule>
  </conditionalFormatting>
  <conditionalFormatting sqref="M36:M40">
    <cfRule type="iconSet" priority="571">
      <iconSet showValue="0">
        <cfvo type="percent" val="0"/>
        <cfvo type="num" val="0.99"/>
        <cfvo type="num" val="1"/>
      </iconSet>
    </cfRule>
  </conditionalFormatting>
  <conditionalFormatting sqref="X39:X40">
    <cfRule type="iconSet" priority="573">
      <iconSet showValue="0">
        <cfvo type="percent" val="0"/>
        <cfvo type="num" val="0.99"/>
        <cfvo type="num" val="1"/>
      </iconSet>
    </cfRule>
  </conditionalFormatting>
  <conditionalFormatting sqref="S36:S40">
    <cfRule type="iconSet" priority="574">
      <iconSet showValue="0">
        <cfvo type="percent" val="0"/>
        <cfvo type="num" val="0.99"/>
        <cfvo type="num" val="1"/>
      </iconSet>
    </cfRule>
  </conditionalFormatting>
  <conditionalFormatting sqref="AB36:AB40">
    <cfRule type="iconSet" priority="576">
      <iconSet showValue="0">
        <cfvo type="percent" val="0"/>
        <cfvo type="num" val="0.99"/>
        <cfvo type="num" val="1"/>
      </iconSet>
    </cfRule>
  </conditionalFormatting>
  <conditionalFormatting sqref="AF36:AF40">
    <cfRule type="iconSet" priority="578">
      <iconSet showValue="0">
        <cfvo type="percent" val="0"/>
        <cfvo type="num" val="0.99"/>
        <cfvo type="num" val="1"/>
      </iconSet>
    </cfRule>
  </conditionalFormatting>
  <conditionalFormatting sqref="M96">
    <cfRule type="iconSet" priority="96">
      <iconSet showValue="0">
        <cfvo type="percent" val="0"/>
        <cfvo type="num" val="0.99"/>
        <cfvo type="num" val="1"/>
      </iconSet>
    </cfRule>
  </conditionalFormatting>
  <conditionalFormatting sqref="X96">
    <cfRule type="iconSet" priority="97">
      <iconSet showValue="0">
        <cfvo type="percent" val="0"/>
        <cfvo type="num" val="0.99"/>
        <cfvo type="num" val="1"/>
      </iconSet>
    </cfRule>
  </conditionalFormatting>
  <conditionalFormatting sqref="S96">
    <cfRule type="iconSet" priority="98">
      <iconSet showValue="0">
        <cfvo type="percent" val="0"/>
        <cfvo type="num" val="0.99"/>
        <cfvo type="num" val="1"/>
      </iconSet>
    </cfRule>
  </conditionalFormatting>
  <conditionalFormatting sqref="AB96">
    <cfRule type="iconSet" priority="95">
      <iconSet showValue="0">
        <cfvo type="percent" val="0"/>
        <cfvo type="num" val="0.99"/>
        <cfvo type="num" val="1"/>
      </iconSet>
    </cfRule>
  </conditionalFormatting>
  <conditionalFormatting sqref="AF96">
    <cfRule type="iconSet" priority="94">
      <iconSet showValue="0">
        <cfvo type="percent" val="0"/>
        <cfvo type="num" val="0.99"/>
        <cfvo type="num" val="1"/>
      </iconSet>
    </cfRule>
  </conditionalFormatting>
  <conditionalFormatting sqref="M256:M286">
    <cfRule type="iconSet" priority="93">
      <iconSet showValue="0">
        <cfvo type="percent" val="0"/>
        <cfvo type="num" val="0.99"/>
        <cfvo type="num" val="1"/>
      </iconSet>
    </cfRule>
  </conditionalFormatting>
  <conditionalFormatting sqref="X256:X286">
    <cfRule type="iconSet" priority="92">
      <iconSet showValue="0">
        <cfvo type="percent" val="0"/>
        <cfvo type="num" val="0.99"/>
        <cfvo type="num" val="1"/>
      </iconSet>
    </cfRule>
  </conditionalFormatting>
  <conditionalFormatting sqref="S256:S286">
    <cfRule type="iconSet" priority="91">
      <iconSet showValue="0">
        <cfvo type="percent" val="0"/>
        <cfvo type="num" val="0.99"/>
        <cfvo type="num" val="1"/>
      </iconSet>
    </cfRule>
  </conditionalFormatting>
  <conditionalFormatting sqref="M287">
    <cfRule type="iconSet" priority="90">
      <iconSet showValue="0">
        <cfvo type="percent" val="0"/>
        <cfvo type="num" val="0.99"/>
        <cfvo type="num" val="1"/>
      </iconSet>
    </cfRule>
  </conditionalFormatting>
  <conditionalFormatting sqref="AB256:AB286">
    <cfRule type="iconSet" priority="87">
      <iconSet showValue="0">
        <cfvo type="percent" val="0"/>
        <cfvo type="num" val="0.99"/>
        <cfvo type="num" val="1"/>
      </iconSet>
    </cfRule>
  </conditionalFormatting>
  <conditionalFormatting sqref="AF256:AF286">
    <cfRule type="iconSet" priority="85">
      <iconSet showValue="0">
        <cfvo type="percent" val="0"/>
        <cfvo type="num" val="0.99"/>
        <cfvo type="num" val="1"/>
      </iconSet>
    </cfRule>
  </conditionalFormatting>
  <conditionalFormatting sqref="X22">
    <cfRule type="iconSet" priority="83">
      <iconSet showValue="0">
        <cfvo type="percent" val="0"/>
        <cfvo type="num" val="0.99"/>
        <cfvo type="num" val="1"/>
      </iconSet>
    </cfRule>
  </conditionalFormatting>
  <conditionalFormatting sqref="M22">
    <cfRule type="iconSet" priority="82">
      <iconSet showValue="0">
        <cfvo type="percent" val="0"/>
        <cfvo type="num" val="0.99"/>
        <cfvo type="num" val="1"/>
      </iconSet>
    </cfRule>
  </conditionalFormatting>
  <conditionalFormatting sqref="S22">
    <cfRule type="iconSet" priority="81">
      <iconSet showValue="0">
        <cfvo type="percent" val="0"/>
        <cfvo type="num" val="0.99"/>
        <cfvo type="num" val="1"/>
      </iconSet>
    </cfRule>
  </conditionalFormatting>
  <conditionalFormatting sqref="AB22">
    <cfRule type="iconSet" priority="80">
      <iconSet showValue="0">
        <cfvo type="percent" val="0"/>
        <cfvo type="num" val="0.99"/>
        <cfvo type="num" val="1"/>
      </iconSet>
    </cfRule>
  </conditionalFormatting>
  <conditionalFormatting sqref="AF22">
    <cfRule type="iconSet" priority="79">
      <iconSet showValue="0">
        <cfvo type="percent" val="0"/>
        <cfvo type="num" val="0.99"/>
        <cfvo type="num" val="1"/>
      </iconSet>
    </cfRule>
  </conditionalFormatting>
  <conditionalFormatting sqref="X32">
    <cfRule type="iconSet" priority="78">
      <iconSet showValue="0">
        <cfvo type="percent" val="0"/>
        <cfvo type="num" val="0.99"/>
        <cfvo type="num" val="1"/>
      </iconSet>
    </cfRule>
  </conditionalFormatting>
  <conditionalFormatting sqref="M32">
    <cfRule type="iconSet" priority="77">
      <iconSet showValue="0">
        <cfvo type="percent" val="0"/>
        <cfvo type="num" val="0.99"/>
        <cfvo type="num" val="1"/>
      </iconSet>
    </cfRule>
  </conditionalFormatting>
  <conditionalFormatting sqref="S32">
    <cfRule type="iconSet" priority="76">
      <iconSet showValue="0">
        <cfvo type="percent" val="0"/>
        <cfvo type="num" val="0.99"/>
        <cfvo type="num" val="1"/>
      </iconSet>
    </cfRule>
  </conditionalFormatting>
  <conditionalFormatting sqref="AB32">
    <cfRule type="iconSet" priority="75">
      <iconSet showValue="0">
        <cfvo type="percent" val="0"/>
        <cfvo type="num" val="0.99"/>
        <cfvo type="num" val="1"/>
      </iconSet>
    </cfRule>
  </conditionalFormatting>
  <conditionalFormatting sqref="AF32">
    <cfRule type="iconSet" priority="74">
      <iconSet showValue="0">
        <cfvo type="percent" val="0"/>
        <cfvo type="num" val="0.99"/>
        <cfvo type="num" val="1"/>
      </iconSet>
    </cfRule>
  </conditionalFormatting>
  <conditionalFormatting sqref="X33">
    <cfRule type="iconSet" priority="73">
      <iconSet showValue="0">
        <cfvo type="percent" val="0"/>
        <cfvo type="num" val="0.99"/>
        <cfvo type="num" val="1"/>
      </iconSet>
    </cfRule>
  </conditionalFormatting>
  <conditionalFormatting sqref="M33">
    <cfRule type="iconSet" priority="72">
      <iconSet showValue="0">
        <cfvo type="percent" val="0"/>
        <cfvo type="num" val="0.99"/>
        <cfvo type="num" val="1"/>
      </iconSet>
    </cfRule>
  </conditionalFormatting>
  <conditionalFormatting sqref="S33">
    <cfRule type="iconSet" priority="71">
      <iconSet showValue="0">
        <cfvo type="percent" val="0"/>
        <cfvo type="num" val="0.99"/>
        <cfvo type="num" val="1"/>
      </iconSet>
    </cfRule>
  </conditionalFormatting>
  <conditionalFormatting sqref="AB33">
    <cfRule type="iconSet" priority="70">
      <iconSet showValue="0">
        <cfvo type="percent" val="0"/>
        <cfvo type="num" val="0.99"/>
        <cfvo type="num" val="1"/>
      </iconSet>
    </cfRule>
  </conditionalFormatting>
  <conditionalFormatting sqref="AF33">
    <cfRule type="iconSet" priority="69">
      <iconSet showValue="0">
        <cfvo type="percent" val="0"/>
        <cfvo type="num" val="0.99"/>
        <cfvo type="num" val="1"/>
      </iconSet>
    </cfRule>
  </conditionalFormatting>
  <conditionalFormatting sqref="S41">
    <cfRule type="iconSet" priority="67">
      <iconSet showValue="0">
        <cfvo type="percent" val="0"/>
        <cfvo type="num" val="0.99"/>
        <cfvo type="num" val="1"/>
      </iconSet>
    </cfRule>
  </conditionalFormatting>
  <conditionalFormatting sqref="Y41">
    <cfRule type="iconSet" priority="66">
      <iconSet showValue="0">
        <cfvo type="percent" val="0"/>
        <cfvo type="num" val="0.99"/>
        <cfvo type="num" val="1"/>
      </iconSet>
    </cfRule>
  </conditionalFormatting>
  <conditionalFormatting sqref="M41">
    <cfRule type="iconSet" priority="64">
      <iconSet showValue="0">
        <cfvo type="percent" val="0"/>
        <cfvo type="num" val="0.99"/>
        <cfvo type="num" val="1"/>
      </iconSet>
    </cfRule>
  </conditionalFormatting>
  <conditionalFormatting sqref="X41">
    <cfRule type="iconSet" priority="63">
      <iconSet showValue="0">
        <cfvo type="percent" val="0"/>
        <cfvo type="num" val="0.99"/>
        <cfvo type="num" val="1"/>
      </iconSet>
    </cfRule>
  </conditionalFormatting>
  <conditionalFormatting sqref="AB41">
    <cfRule type="iconSet" priority="62">
      <iconSet showValue="0">
        <cfvo type="percent" val="0"/>
        <cfvo type="num" val="0.99"/>
        <cfvo type="num" val="1"/>
      </iconSet>
    </cfRule>
  </conditionalFormatting>
  <conditionalFormatting sqref="AF41">
    <cfRule type="iconSet" priority="61">
      <iconSet showValue="0">
        <cfvo type="percent" val="0"/>
        <cfvo type="num" val="0.99"/>
        <cfvo type="num" val="1"/>
      </iconSet>
    </cfRule>
  </conditionalFormatting>
  <conditionalFormatting sqref="M59">
    <cfRule type="iconSet" priority="60">
      <iconSet showValue="0">
        <cfvo type="percent" val="0"/>
        <cfvo type="num" val="0.99"/>
        <cfvo type="num" val="1"/>
      </iconSet>
    </cfRule>
  </conditionalFormatting>
  <conditionalFormatting sqref="S59">
    <cfRule type="iconSet" priority="59">
      <iconSet showValue="0">
        <cfvo type="percent" val="0"/>
        <cfvo type="num" val="0.99"/>
        <cfvo type="num" val="1"/>
      </iconSet>
    </cfRule>
  </conditionalFormatting>
  <conditionalFormatting sqref="X59">
    <cfRule type="iconSet" priority="58">
      <iconSet showValue="0">
        <cfvo type="percent" val="0"/>
        <cfvo type="num" val="0.99"/>
        <cfvo type="num" val="1"/>
      </iconSet>
    </cfRule>
  </conditionalFormatting>
  <conditionalFormatting sqref="AB59">
    <cfRule type="iconSet" priority="57">
      <iconSet showValue="0">
        <cfvo type="percent" val="0"/>
        <cfvo type="num" val="0.99"/>
        <cfvo type="num" val="1"/>
      </iconSet>
    </cfRule>
  </conditionalFormatting>
  <conditionalFormatting sqref="AF59">
    <cfRule type="iconSet" priority="56">
      <iconSet showValue="0">
        <cfvo type="percent" val="0"/>
        <cfvo type="num" val="0.99"/>
        <cfvo type="num" val="1"/>
      </iconSet>
    </cfRule>
  </conditionalFormatting>
  <conditionalFormatting sqref="AB73">
    <cfRule type="iconSet" priority="55">
      <iconSet showValue="0">
        <cfvo type="percent" val="0"/>
        <cfvo type="num" val="0.99"/>
        <cfvo type="num" val="1"/>
      </iconSet>
    </cfRule>
  </conditionalFormatting>
  <conditionalFormatting sqref="AF73">
    <cfRule type="iconSet" priority="54">
      <iconSet showValue="0">
        <cfvo type="percent" val="0"/>
        <cfvo type="num" val="0.99"/>
        <cfvo type="num" val="1"/>
      </iconSet>
    </cfRule>
  </conditionalFormatting>
  <conditionalFormatting sqref="M73">
    <cfRule type="iconSet" priority="53">
      <iconSet showValue="0">
        <cfvo type="percent" val="0"/>
        <cfvo type="num" val="0.99"/>
        <cfvo type="num" val="1"/>
      </iconSet>
    </cfRule>
  </conditionalFormatting>
  <conditionalFormatting sqref="S73">
    <cfRule type="iconSet" priority="52">
      <iconSet showValue="0">
        <cfvo type="percent" val="0"/>
        <cfvo type="num" val="0.99"/>
        <cfvo type="num" val="1"/>
      </iconSet>
    </cfRule>
  </conditionalFormatting>
  <conditionalFormatting sqref="X73">
    <cfRule type="iconSet" priority="51">
      <iconSet showValue="0">
        <cfvo type="percent" val="0"/>
        <cfvo type="num" val="0.99"/>
        <cfvo type="num" val="1"/>
      </iconSet>
    </cfRule>
  </conditionalFormatting>
  <conditionalFormatting sqref="M87">
    <cfRule type="iconSet" priority="50">
      <iconSet showValue="0">
        <cfvo type="percent" val="0"/>
        <cfvo type="num" val="0.99"/>
        <cfvo type="num" val="1"/>
      </iconSet>
    </cfRule>
  </conditionalFormatting>
  <conditionalFormatting sqref="S87">
    <cfRule type="iconSet" priority="49">
      <iconSet showValue="0">
        <cfvo type="percent" val="0"/>
        <cfvo type="num" val="0.99"/>
        <cfvo type="num" val="1"/>
      </iconSet>
    </cfRule>
  </conditionalFormatting>
  <conditionalFormatting sqref="X87">
    <cfRule type="iconSet" priority="48">
      <iconSet showValue="0">
        <cfvo type="percent" val="0"/>
        <cfvo type="num" val="0.99"/>
        <cfvo type="num" val="1"/>
      </iconSet>
    </cfRule>
  </conditionalFormatting>
  <conditionalFormatting sqref="AB87">
    <cfRule type="iconSet" priority="47">
      <iconSet showValue="0">
        <cfvo type="percent" val="0"/>
        <cfvo type="num" val="0.99"/>
        <cfvo type="num" val="1"/>
      </iconSet>
    </cfRule>
  </conditionalFormatting>
  <conditionalFormatting sqref="AF87">
    <cfRule type="iconSet" priority="46">
      <iconSet showValue="0">
        <cfvo type="percent" val="0"/>
        <cfvo type="num" val="0.99"/>
        <cfvo type="num" val="1"/>
      </iconSet>
    </cfRule>
  </conditionalFormatting>
  <conditionalFormatting sqref="M107">
    <cfRule type="iconSet" priority="45">
      <iconSet showValue="0">
        <cfvo type="percent" val="0"/>
        <cfvo type="num" val="0.99"/>
        <cfvo type="num" val="1"/>
      </iconSet>
    </cfRule>
  </conditionalFormatting>
  <conditionalFormatting sqref="S107">
    <cfRule type="iconSet" priority="44">
      <iconSet showValue="0">
        <cfvo type="percent" val="0"/>
        <cfvo type="num" val="0.99"/>
        <cfvo type="num" val="1"/>
      </iconSet>
    </cfRule>
  </conditionalFormatting>
  <conditionalFormatting sqref="X107">
    <cfRule type="iconSet" priority="43">
      <iconSet showValue="0">
        <cfvo type="percent" val="0"/>
        <cfvo type="num" val="0.99"/>
        <cfvo type="num" val="1"/>
      </iconSet>
    </cfRule>
  </conditionalFormatting>
  <conditionalFormatting sqref="AB107">
    <cfRule type="iconSet" priority="42">
      <iconSet showValue="0">
        <cfvo type="percent" val="0"/>
        <cfvo type="num" val="0.99"/>
        <cfvo type="num" val="1"/>
      </iconSet>
    </cfRule>
  </conditionalFormatting>
  <conditionalFormatting sqref="AF107">
    <cfRule type="iconSet" priority="41">
      <iconSet showValue="0">
        <cfvo type="percent" val="0"/>
        <cfvo type="num" val="0.99"/>
        <cfvo type="num" val="1"/>
      </iconSet>
    </cfRule>
  </conditionalFormatting>
  <conditionalFormatting sqref="M118">
    <cfRule type="iconSet" priority="40">
      <iconSet showValue="0">
        <cfvo type="percent" val="0"/>
        <cfvo type="num" val="0.99"/>
        <cfvo type="num" val="1"/>
      </iconSet>
    </cfRule>
  </conditionalFormatting>
  <conditionalFormatting sqref="S118">
    <cfRule type="iconSet" priority="39">
      <iconSet showValue="0">
        <cfvo type="percent" val="0"/>
        <cfvo type="num" val="0.99"/>
        <cfvo type="num" val="1"/>
      </iconSet>
    </cfRule>
  </conditionalFormatting>
  <conditionalFormatting sqref="X118">
    <cfRule type="iconSet" priority="38">
      <iconSet showValue="0">
        <cfvo type="percent" val="0"/>
        <cfvo type="num" val="0.99"/>
        <cfvo type="num" val="1"/>
      </iconSet>
    </cfRule>
  </conditionalFormatting>
  <conditionalFormatting sqref="AB118">
    <cfRule type="iconSet" priority="37">
      <iconSet showValue="0">
        <cfvo type="percent" val="0"/>
        <cfvo type="num" val="0.99"/>
        <cfvo type="num" val="1"/>
      </iconSet>
    </cfRule>
  </conditionalFormatting>
  <conditionalFormatting sqref="AF118">
    <cfRule type="iconSet" priority="36">
      <iconSet showValue="0">
        <cfvo type="percent" val="0"/>
        <cfvo type="num" val="0.99"/>
        <cfvo type="num" val="1"/>
      </iconSet>
    </cfRule>
  </conditionalFormatting>
  <conditionalFormatting sqref="M130">
    <cfRule type="iconSet" priority="35">
      <iconSet showValue="0">
        <cfvo type="percent" val="0"/>
        <cfvo type="num" val="0.99"/>
        <cfvo type="num" val="1"/>
      </iconSet>
    </cfRule>
  </conditionalFormatting>
  <conditionalFormatting sqref="S130">
    <cfRule type="iconSet" priority="34">
      <iconSet showValue="0">
        <cfvo type="percent" val="0"/>
        <cfvo type="num" val="0.99"/>
        <cfvo type="num" val="1"/>
      </iconSet>
    </cfRule>
  </conditionalFormatting>
  <conditionalFormatting sqref="X130">
    <cfRule type="iconSet" priority="33">
      <iconSet showValue="0">
        <cfvo type="percent" val="0"/>
        <cfvo type="num" val="0.99"/>
        <cfvo type="num" val="1"/>
      </iconSet>
    </cfRule>
  </conditionalFormatting>
  <conditionalFormatting sqref="AB130">
    <cfRule type="iconSet" priority="32">
      <iconSet showValue="0">
        <cfvo type="percent" val="0"/>
        <cfvo type="num" val="0.99"/>
        <cfvo type="num" val="1"/>
      </iconSet>
    </cfRule>
  </conditionalFormatting>
  <conditionalFormatting sqref="AF130">
    <cfRule type="iconSet" priority="31">
      <iconSet showValue="0">
        <cfvo type="percent" val="0"/>
        <cfvo type="num" val="0.99"/>
        <cfvo type="num" val="1"/>
      </iconSet>
    </cfRule>
  </conditionalFormatting>
  <conditionalFormatting sqref="M136">
    <cfRule type="iconSet" priority="30">
      <iconSet showValue="0">
        <cfvo type="percent" val="0"/>
        <cfvo type="num" val="0.99"/>
        <cfvo type="num" val="1"/>
      </iconSet>
    </cfRule>
  </conditionalFormatting>
  <conditionalFormatting sqref="S136">
    <cfRule type="iconSet" priority="29">
      <iconSet showValue="0">
        <cfvo type="percent" val="0"/>
        <cfvo type="num" val="0.99"/>
        <cfvo type="num" val="1"/>
      </iconSet>
    </cfRule>
  </conditionalFormatting>
  <conditionalFormatting sqref="M144">
    <cfRule type="iconSet" priority="28">
      <iconSet showValue="0">
        <cfvo type="percent" val="0"/>
        <cfvo type="num" val="0.99"/>
        <cfvo type="num" val="1"/>
      </iconSet>
    </cfRule>
  </conditionalFormatting>
  <conditionalFormatting sqref="S144">
    <cfRule type="iconSet" priority="26">
      <iconSet showValue="0">
        <cfvo type="percent" val="0"/>
        <cfvo type="num" val="0.99"/>
        <cfvo type="num" val="1"/>
      </iconSet>
    </cfRule>
  </conditionalFormatting>
  <conditionalFormatting sqref="X136">
    <cfRule type="iconSet" priority="25">
      <iconSet showValue="0">
        <cfvo type="percent" val="0"/>
        <cfvo type="num" val="0.99"/>
        <cfvo type="num" val="1"/>
      </iconSet>
    </cfRule>
  </conditionalFormatting>
  <conditionalFormatting sqref="AB136">
    <cfRule type="iconSet" priority="24">
      <iconSet showValue="0">
        <cfvo type="percent" val="0"/>
        <cfvo type="num" val="0.99"/>
        <cfvo type="num" val="1"/>
      </iconSet>
    </cfRule>
  </conditionalFormatting>
  <conditionalFormatting sqref="AF136">
    <cfRule type="iconSet" priority="23">
      <iconSet showValue="0">
        <cfvo type="percent" val="0"/>
        <cfvo type="num" val="0.99"/>
        <cfvo type="num" val="1"/>
      </iconSet>
    </cfRule>
  </conditionalFormatting>
  <conditionalFormatting sqref="X144">
    <cfRule type="iconSet" priority="22">
      <iconSet showValue="0">
        <cfvo type="percent" val="0"/>
        <cfvo type="num" val="0.99"/>
        <cfvo type="num" val="1"/>
      </iconSet>
    </cfRule>
  </conditionalFormatting>
  <conditionalFormatting sqref="AB144">
    <cfRule type="iconSet" priority="21">
      <iconSet showValue="0">
        <cfvo type="percent" val="0"/>
        <cfvo type="num" val="0.99"/>
        <cfvo type="num" val="1"/>
      </iconSet>
    </cfRule>
  </conditionalFormatting>
  <conditionalFormatting sqref="AF144">
    <cfRule type="iconSet" priority="20">
      <iconSet showValue="0">
        <cfvo type="percent" val="0"/>
        <cfvo type="num" val="0.99"/>
        <cfvo type="num" val="1"/>
      </iconSet>
    </cfRule>
  </conditionalFormatting>
  <conditionalFormatting sqref="M182">
    <cfRule type="iconSet" priority="19">
      <iconSet showValue="0">
        <cfvo type="percent" val="0"/>
        <cfvo type="num" val="0.99"/>
        <cfvo type="num" val="1"/>
      </iconSet>
    </cfRule>
  </conditionalFormatting>
  <conditionalFormatting sqref="S182">
    <cfRule type="iconSet" priority="18">
      <iconSet showValue="0">
        <cfvo type="percent" val="0"/>
        <cfvo type="num" val="0.99"/>
        <cfvo type="num" val="1"/>
      </iconSet>
    </cfRule>
  </conditionalFormatting>
  <conditionalFormatting sqref="X182">
    <cfRule type="iconSet" priority="17">
      <iconSet showValue="0">
        <cfvo type="percent" val="0"/>
        <cfvo type="num" val="0.99"/>
        <cfvo type="num" val="1"/>
      </iconSet>
    </cfRule>
  </conditionalFormatting>
  <conditionalFormatting sqref="AB182">
    <cfRule type="iconSet" priority="16">
      <iconSet showValue="0">
        <cfvo type="percent" val="0"/>
        <cfvo type="num" val="0.99"/>
        <cfvo type="num" val="1"/>
      </iconSet>
    </cfRule>
  </conditionalFormatting>
  <conditionalFormatting sqref="AF182">
    <cfRule type="iconSet" priority="15">
      <iconSet showValue="0">
        <cfvo type="percent" val="0"/>
        <cfvo type="num" val="0.99"/>
        <cfvo type="num" val="1"/>
      </iconSet>
    </cfRule>
  </conditionalFormatting>
  <conditionalFormatting sqref="M217">
    <cfRule type="iconSet" priority="14">
      <iconSet showValue="0">
        <cfvo type="percent" val="0"/>
        <cfvo type="num" val="0.99"/>
        <cfvo type="num" val="1"/>
      </iconSet>
    </cfRule>
  </conditionalFormatting>
  <conditionalFormatting sqref="S217">
    <cfRule type="iconSet" priority="13">
      <iconSet showValue="0">
        <cfvo type="percent" val="0"/>
        <cfvo type="num" val="0.99"/>
        <cfvo type="num" val="1"/>
      </iconSet>
    </cfRule>
  </conditionalFormatting>
  <conditionalFormatting sqref="X217">
    <cfRule type="iconSet" priority="12">
      <iconSet showValue="0">
        <cfvo type="percent" val="0"/>
        <cfvo type="num" val="0.99"/>
        <cfvo type="num" val="1"/>
      </iconSet>
    </cfRule>
  </conditionalFormatting>
  <conditionalFormatting sqref="AB217">
    <cfRule type="iconSet" priority="11">
      <iconSet showValue="0">
        <cfvo type="percent" val="0"/>
        <cfvo type="num" val="0.99"/>
        <cfvo type="num" val="1"/>
      </iconSet>
    </cfRule>
  </conditionalFormatting>
  <conditionalFormatting sqref="AF217">
    <cfRule type="iconSet" priority="10">
      <iconSet showValue="0">
        <cfvo type="percent" val="0"/>
        <cfvo type="num" val="0.99"/>
        <cfvo type="num" val="1"/>
      </iconSet>
    </cfRule>
  </conditionalFormatting>
  <conditionalFormatting sqref="M252">
    <cfRule type="iconSet" priority="9">
      <iconSet showValue="0">
        <cfvo type="percent" val="0"/>
        <cfvo type="num" val="0.99"/>
        <cfvo type="num" val="1"/>
      </iconSet>
    </cfRule>
  </conditionalFormatting>
  <conditionalFormatting sqref="S252">
    <cfRule type="iconSet" priority="8">
      <iconSet showValue="0">
        <cfvo type="percent" val="0"/>
        <cfvo type="num" val="0.99"/>
        <cfvo type="num" val="1"/>
      </iconSet>
    </cfRule>
  </conditionalFormatting>
  <conditionalFormatting sqref="X252">
    <cfRule type="iconSet" priority="7">
      <iconSet showValue="0">
        <cfvo type="percent" val="0"/>
        <cfvo type="num" val="0.99"/>
        <cfvo type="num" val="1"/>
      </iconSet>
    </cfRule>
  </conditionalFormatting>
  <conditionalFormatting sqref="AB252">
    <cfRule type="iconSet" priority="6">
      <iconSet showValue="0">
        <cfvo type="percent" val="0"/>
        <cfvo type="num" val="0.99"/>
        <cfvo type="num" val="1"/>
      </iconSet>
    </cfRule>
  </conditionalFormatting>
  <conditionalFormatting sqref="AF252">
    <cfRule type="iconSet" priority="5">
      <iconSet showValue="0">
        <cfvo type="percent" val="0"/>
        <cfvo type="num" val="0.99"/>
        <cfvo type="num" val="1"/>
      </iconSet>
    </cfRule>
  </conditionalFormatting>
  <conditionalFormatting sqref="AB287">
    <cfRule type="iconSet" priority="4">
      <iconSet showValue="0">
        <cfvo type="percent" val="0"/>
        <cfvo type="num" val="0.99"/>
        <cfvo type="num" val="1"/>
      </iconSet>
    </cfRule>
  </conditionalFormatting>
  <conditionalFormatting sqref="AF287">
    <cfRule type="iconSet" priority="3">
      <iconSet showValue="0">
        <cfvo type="percent" val="0"/>
        <cfvo type="num" val="0.99"/>
        <cfvo type="num" val="1"/>
      </iconSet>
    </cfRule>
  </conditionalFormatting>
  <conditionalFormatting sqref="S287">
    <cfRule type="iconSet" priority="2">
      <iconSet showValue="0">
        <cfvo type="percent" val="0"/>
        <cfvo type="num" val="0.99"/>
        <cfvo type="num" val="1"/>
      </iconSet>
    </cfRule>
  </conditionalFormatting>
  <conditionalFormatting sqref="X287">
    <cfRule type="iconSet" priority="1">
      <iconSet showValue="0">
        <cfvo type="percent" val="0"/>
        <cfvo type="num" val="0.99"/>
        <cfvo type="num" val="1"/>
      </iconSet>
    </cfRule>
  </conditionalFormatting>
  <printOptions horizontalCentered="1" verticalCentered="1"/>
  <pageMargins left="0.19685039370078741" right="0.19685039370078741" top="0.19685039370078741" bottom="0.19685039370078741" header="0.19685039370078741" footer="0.19685039370078741"/>
  <pageSetup paperSize="14" scale="60" fitToHeight="0" orientation="landscape" r:id="rId1"/>
  <rowBreaks count="6" manualBreakCount="6">
    <brk id="43" max="16383" man="1"/>
    <brk id="88" max="16383" man="1"/>
    <brk id="119" max="16383" man="1"/>
    <brk id="145" max="16383" man="1"/>
    <brk id="182" max="16383" man="1"/>
    <brk id="217" max="16383" man="1"/>
  </rowBreaks>
  <ignoredErrors>
    <ignoredError sqref="J12 G29 G65:G66 P12 U12 G11 G31 G68 C19:F19 Z19 C9:F9 Z9 AD9"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W25"/>
  <sheetViews>
    <sheetView workbookViewId="0">
      <selection activeCell="C7" sqref="C7"/>
    </sheetView>
  </sheetViews>
  <sheetFormatPr baseColWidth="10" defaultRowHeight="15"/>
  <cols>
    <col min="2" max="2" width="68.85546875" bestFit="1" customWidth="1"/>
  </cols>
  <sheetData>
    <row r="2" spans="1:13">
      <c r="B2" t="s">
        <v>2</v>
      </c>
      <c r="C2" t="s">
        <v>291</v>
      </c>
      <c r="D2" t="s">
        <v>353</v>
      </c>
      <c r="E2" t="s">
        <v>364</v>
      </c>
      <c r="F2" t="s">
        <v>287</v>
      </c>
      <c r="G2" t="s">
        <v>288</v>
      </c>
      <c r="H2" t="s">
        <v>365</v>
      </c>
      <c r="I2" t="s">
        <v>212</v>
      </c>
      <c r="J2" t="s">
        <v>213</v>
      </c>
      <c r="K2" t="s">
        <v>214</v>
      </c>
      <c r="L2" t="s">
        <v>215</v>
      </c>
      <c r="M2" t="s">
        <v>216</v>
      </c>
    </row>
    <row r="3" spans="1:13">
      <c r="A3" s="167" t="s">
        <v>7</v>
      </c>
      <c r="B3" t="s">
        <v>172</v>
      </c>
      <c r="C3" s="178">
        <v>0.25244206527607843</v>
      </c>
      <c r="D3" s="178">
        <v>0.31893864047676518</v>
      </c>
      <c r="E3" s="178">
        <v>0.3776880788418423</v>
      </c>
      <c r="F3" s="178">
        <v>0.46247722509870215</v>
      </c>
      <c r="G3" s="178">
        <v>0.57291536668000609</v>
      </c>
      <c r="H3" s="178">
        <v>0.63201936899677058</v>
      </c>
      <c r="I3" s="178">
        <v>0.73040139904671075</v>
      </c>
      <c r="J3" s="178">
        <v>0.782649065990218</v>
      </c>
      <c r="K3" s="178">
        <v>0.83489673293372524</v>
      </c>
      <c r="L3" s="178">
        <v>0.88717098077605194</v>
      </c>
      <c r="M3" s="178">
        <v>0.96</v>
      </c>
    </row>
    <row r="4" spans="1:13">
      <c r="A4" s="167" t="s">
        <v>256</v>
      </c>
      <c r="B4" t="s">
        <v>256</v>
      </c>
      <c r="C4" s="178">
        <v>4.4017261779319014E-2</v>
      </c>
      <c r="D4" s="178">
        <v>5.4285950408667197E-2</v>
      </c>
      <c r="E4" s="178">
        <v>7.3040820587530558E-2</v>
      </c>
      <c r="F4" s="178">
        <v>9.2876758682182231E-2</v>
      </c>
      <c r="G4" s="178">
        <v>0.16713251490462155</v>
      </c>
      <c r="H4" s="178">
        <v>0.30784222767399932</v>
      </c>
      <c r="I4" s="178">
        <v>0.50354948059663884</v>
      </c>
      <c r="J4" s="178">
        <v>0.60466887886148357</v>
      </c>
      <c r="K4" s="178">
        <v>0.68186755154459333</v>
      </c>
      <c r="L4" s="178">
        <v>0.80000000000000016</v>
      </c>
      <c r="M4" s="178">
        <v>0.97</v>
      </c>
    </row>
    <row r="5" spans="1:13">
      <c r="A5" s="167" t="s">
        <v>9</v>
      </c>
      <c r="B5" t="s">
        <v>395</v>
      </c>
      <c r="C5" s="178">
        <v>0.33</v>
      </c>
      <c r="D5" s="178">
        <v>0.34754039672827713</v>
      </c>
      <c r="E5" s="178">
        <v>0.37596551661246874</v>
      </c>
      <c r="F5" s="178">
        <v>0.40132044969123698</v>
      </c>
      <c r="G5" s="178">
        <v>0.49435737291459014</v>
      </c>
      <c r="H5" s="178">
        <v>0.55709366003367367</v>
      </c>
      <c r="I5" s="178">
        <v>0.59533217865785459</v>
      </c>
      <c r="J5" s="178">
        <v>0.63878491163871665</v>
      </c>
      <c r="K5" s="178">
        <v>0.75886323112003529</v>
      </c>
      <c r="L5" s="178">
        <v>0.82421091188288675</v>
      </c>
      <c r="M5" s="178">
        <v>0.94629138676304547</v>
      </c>
    </row>
    <row r="6" spans="1:13">
      <c r="A6" s="167" t="s">
        <v>8</v>
      </c>
      <c r="B6" t="s">
        <v>394</v>
      </c>
      <c r="C6" s="178">
        <v>0.32518259626656376</v>
      </c>
      <c r="D6" s="178">
        <v>0.38805404140030164</v>
      </c>
      <c r="E6" s="178">
        <v>0.48024844155513563</v>
      </c>
      <c r="F6" s="178">
        <v>0.54378278909320255</v>
      </c>
      <c r="G6" s="178">
        <v>0.64139904176278095</v>
      </c>
      <c r="H6" s="178">
        <v>0.79269816960125206</v>
      </c>
      <c r="I6" s="178">
        <v>0.83982358243149491</v>
      </c>
      <c r="J6" s="178">
        <v>0.87495472050692102</v>
      </c>
      <c r="K6" s="178">
        <v>0.90798058072059207</v>
      </c>
      <c r="L6" s="178">
        <v>0.94378874815290881</v>
      </c>
      <c r="M6" s="178">
        <v>0.96000000000011043</v>
      </c>
    </row>
    <row r="7" spans="1:13">
      <c r="A7" s="167" t="s">
        <v>6</v>
      </c>
      <c r="B7" t="s">
        <v>393</v>
      </c>
      <c r="C7" s="178">
        <v>0.5887</v>
      </c>
      <c r="D7" s="178">
        <v>0.59499999999999997</v>
      </c>
      <c r="E7" s="178">
        <v>0.61019999999999996</v>
      </c>
      <c r="F7" s="178">
        <v>0.65449999999999997</v>
      </c>
      <c r="G7" s="178">
        <v>0.72806972203665254</v>
      </c>
      <c r="H7" s="178">
        <v>0.77800000000000002</v>
      </c>
      <c r="I7" s="178">
        <v>0.82254715994116578</v>
      </c>
      <c r="J7" s="178">
        <v>0.85204999084581634</v>
      </c>
      <c r="K7" s="178">
        <v>0.88529999999999998</v>
      </c>
      <c r="L7" s="178">
        <v>0.93120000000000003</v>
      </c>
      <c r="M7" s="178">
        <v>0.95</v>
      </c>
    </row>
    <row r="8" spans="1:13">
      <c r="A8" s="167" t="s">
        <v>237</v>
      </c>
      <c r="B8" t="s">
        <v>169</v>
      </c>
      <c r="C8" s="178">
        <v>0.42</v>
      </c>
      <c r="D8" s="178">
        <v>0.43007649884932575</v>
      </c>
      <c r="E8" s="178">
        <v>0.44</v>
      </c>
      <c r="F8" s="178">
        <v>0.48795088392699221</v>
      </c>
      <c r="G8" s="178">
        <v>0.54655254732342406</v>
      </c>
      <c r="H8" s="178">
        <v>0.62731906500898649</v>
      </c>
      <c r="I8" s="178">
        <v>0.70505857580010356</v>
      </c>
      <c r="J8" s="178">
        <v>0.7858250934856662</v>
      </c>
      <c r="K8" s="178">
        <v>0.85115387600955728</v>
      </c>
      <c r="L8" s="178">
        <v>0.89437341019974703</v>
      </c>
      <c r="M8" s="178">
        <v>0.94999999999997387</v>
      </c>
    </row>
    <row r="9" spans="1:13">
      <c r="A9" s="167" t="s">
        <v>245</v>
      </c>
      <c r="B9" t="s">
        <v>245</v>
      </c>
      <c r="C9" s="178">
        <v>0.3321271762288498</v>
      </c>
      <c r="D9" s="178">
        <v>0.35097287413505929</v>
      </c>
      <c r="E9" s="178">
        <v>0.37893901958783943</v>
      </c>
      <c r="F9" s="178">
        <v>0.4152324756624029</v>
      </c>
      <c r="G9" s="178">
        <v>0.49857793614942159</v>
      </c>
      <c r="H9" s="178">
        <v>0.58121222426546337</v>
      </c>
      <c r="I9" s="178">
        <v>0.65934474062689119</v>
      </c>
      <c r="J9" s="178">
        <v>0.71458227304858069</v>
      </c>
      <c r="K9" s="178">
        <v>0.79322247330963636</v>
      </c>
      <c r="L9" s="178">
        <v>0.86005573624210074</v>
      </c>
      <c r="M9" s="178">
        <v>0.95375455079563409</v>
      </c>
    </row>
    <row r="10" spans="1:13">
      <c r="A10" s="167"/>
      <c r="C10" s="178"/>
      <c r="D10" s="178"/>
      <c r="E10" s="178"/>
      <c r="F10" s="178"/>
      <c r="G10" s="178"/>
      <c r="H10" s="178"/>
      <c r="I10" s="178"/>
      <c r="J10" s="178"/>
      <c r="K10" s="178"/>
      <c r="L10" s="178"/>
      <c r="M10" s="178"/>
    </row>
    <row r="11" spans="1:13">
      <c r="A11" s="167"/>
      <c r="B11" t="s">
        <v>3</v>
      </c>
      <c r="C11" s="178" t="s">
        <v>291</v>
      </c>
      <c r="D11" s="178" t="s">
        <v>353</v>
      </c>
      <c r="E11" s="178" t="s">
        <v>364</v>
      </c>
      <c r="F11" s="178" t="s">
        <v>287</v>
      </c>
      <c r="G11" s="178" t="s">
        <v>288</v>
      </c>
      <c r="H11" s="178" t="s">
        <v>365</v>
      </c>
      <c r="I11" s="178" t="s">
        <v>212</v>
      </c>
      <c r="J11" s="178" t="s">
        <v>213</v>
      </c>
      <c r="K11" s="178" t="s">
        <v>214</v>
      </c>
      <c r="L11" s="178" t="s">
        <v>215</v>
      </c>
      <c r="M11" s="178" t="s">
        <v>216</v>
      </c>
    </row>
    <row r="12" spans="1:13">
      <c r="A12" s="167" t="s">
        <v>7</v>
      </c>
      <c r="B12" t="s">
        <v>172</v>
      </c>
      <c r="C12" s="178">
        <v>0.13727877791525087</v>
      </c>
      <c r="D12" s="178">
        <v>0.21576106689520688</v>
      </c>
      <c r="E12" s="178">
        <v>0.29559046486270907</v>
      </c>
      <c r="F12" s="178">
        <v>0.40779586231937903</v>
      </c>
      <c r="G12" s="178">
        <v>0.51182806358850574</v>
      </c>
      <c r="H12" s="178">
        <v>0.5928881776917998</v>
      </c>
      <c r="I12" s="178">
        <v>0.6699493391311504</v>
      </c>
      <c r="J12" s="178">
        <v>0.74694478594339475</v>
      </c>
      <c r="K12" s="178">
        <v>0.823893269503991</v>
      </c>
      <c r="L12" s="178">
        <v>0.90046005802934626</v>
      </c>
      <c r="M12" s="178">
        <v>0.92999999999999994</v>
      </c>
    </row>
    <row r="13" spans="1:13">
      <c r="A13" s="167" t="s">
        <v>256</v>
      </c>
      <c r="B13" t="s">
        <v>494</v>
      </c>
      <c r="C13" s="178">
        <v>2.6184994610747008E-2</v>
      </c>
      <c r="D13" s="178">
        <v>3.2615279165296801E-2</v>
      </c>
      <c r="E13" s="178">
        <v>4.2446008940387095E-2</v>
      </c>
      <c r="F13" s="178">
        <v>4.9547826425748558E-2</v>
      </c>
      <c r="G13" s="178">
        <v>9.184706544262973E-2</v>
      </c>
      <c r="H13" s="178">
        <v>0.1561025374758582</v>
      </c>
      <c r="I13" s="178">
        <v>0.27679058979875504</v>
      </c>
      <c r="J13" s="178">
        <v>0.41461457216243081</v>
      </c>
      <c r="K13" s="178">
        <v>0.5</v>
      </c>
      <c r="L13" s="178">
        <v>0.6318675515445934</v>
      </c>
      <c r="M13" s="178">
        <v>0.93274702061783721</v>
      </c>
    </row>
    <row r="14" spans="1:13">
      <c r="A14" s="167" t="s">
        <v>9</v>
      </c>
      <c r="B14" t="s">
        <v>395</v>
      </c>
      <c r="C14" s="178">
        <v>0.15709238444058468</v>
      </c>
      <c r="D14" s="178">
        <v>0.20681977057392911</v>
      </c>
      <c r="E14" s="178">
        <v>0.2355738417895088</v>
      </c>
      <c r="F14" s="178">
        <v>0.265670877574124</v>
      </c>
      <c r="G14" s="178">
        <v>0.33732822181189537</v>
      </c>
      <c r="H14" s="178">
        <v>0.42134534959983844</v>
      </c>
      <c r="I14" s="178">
        <v>0.47034832698060919</v>
      </c>
      <c r="J14" s="178">
        <v>0.51903521139563213</v>
      </c>
      <c r="K14" s="178">
        <v>0.64767814510087718</v>
      </c>
      <c r="L14" s="178">
        <v>0.69721046706519196</v>
      </c>
      <c r="M14" s="178">
        <v>0.88040473782492046</v>
      </c>
    </row>
    <row r="15" spans="1:13">
      <c r="A15" s="167" t="s">
        <v>8</v>
      </c>
      <c r="B15" t="s">
        <v>394</v>
      </c>
      <c r="C15" s="178">
        <v>0.12730483110488544</v>
      </c>
      <c r="D15" s="178">
        <v>0.19017627623862338</v>
      </c>
      <c r="E15" s="178">
        <v>0.29964822438673538</v>
      </c>
      <c r="F15" s="178">
        <v>0.3631825719248023</v>
      </c>
      <c r="G15" s="178">
        <v>0.47807637258765873</v>
      </c>
      <c r="H15" s="178">
        <v>0.66393059641268604</v>
      </c>
      <c r="I15" s="178">
        <v>0.71105600924292889</v>
      </c>
      <c r="J15" s="178">
        <v>0.746187147318355</v>
      </c>
      <c r="K15" s="178">
        <v>0.80415857532205492</v>
      </c>
      <c r="L15" s="178">
        <v>0.86491231054440032</v>
      </c>
      <c r="M15" s="178">
        <v>0.92112356239160686</v>
      </c>
    </row>
    <row r="16" spans="1:13">
      <c r="A16" s="167" t="s">
        <v>6</v>
      </c>
      <c r="B16" t="s">
        <v>393</v>
      </c>
      <c r="C16" s="178">
        <v>0.14473780419480622</v>
      </c>
      <c r="D16" s="178">
        <v>0.19378641344305048</v>
      </c>
      <c r="E16" s="178">
        <v>0.28407351903781308</v>
      </c>
      <c r="F16" s="178">
        <v>0.35650201707192775</v>
      </c>
      <c r="G16" s="178">
        <v>0.46837161568051905</v>
      </c>
      <c r="H16" s="178">
        <v>0.52920544824977567</v>
      </c>
      <c r="I16" s="178">
        <v>0.60418232738693667</v>
      </c>
      <c r="J16" s="178">
        <v>0.69700233807548517</v>
      </c>
      <c r="K16" s="178">
        <v>0.74375315050696689</v>
      </c>
      <c r="L16" s="178">
        <v>0.8147085797159026</v>
      </c>
      <c r="M16" s="178">
        <v>0.9</v>
      </c>
    </row>
    <row r="17" spans="1:23">
      <c r="A17" s="167" t="s">
        <v>237</v>
      </c>
      <c r="B17" t="s">
        <v>169</v>
      </c>
      <c r="C17" s="178">
        <v>0.05</v>
      </c>
      <c r="D17" s="178">
        <v>0.1280410131100081</v>
      </c>
      <c r="E17" s="178">
        <v>0.19410027649517092</v>
      </c>
      <c r="F17" s="178">
        <v>0.2601595398803338</v>
      </c>
      <c r="G17" s="178">
        <v>0.32668335449911112</v>
      </c>
      <c r="H17" s="178">
        <v>0.43545771027113528</v>
      </c>
      <c r="I17" s="178">
        <v>0.50151697365629822</v>
      </c>
      <c r="J17" s="178">
        <v>0.5675762370414611</v>
      </c>
      <c r="K17" s="178">
        <v>0.63410005166169137</v>
      </c>
      <c r="L17" s="178">
        <v>0.70062386628192164</v>
      </c>
      <c r="M17" s="178">
        <v>0.92</v>
      </c>
    </row>
    <row r="18" spans="1:23">
      <c r="A18" s="167" t="s">
        <v>245</v>
      </c>
      <c r="B18" t="s">
        <v>245</v>
      </c>
      <c r="C18" s="178">
        <v>0.1157679320269324</v>
      </c>
      <c r="D18" s="178">
        <v>0.1620150267793902</v>
      </c>
      <c r="E18" s="178">
        <v>0.21176096031805916</v>
      </c>
      <c r="F18" s="178">
        <v>0.25653152186754463</v>
      </c>
      <c r="G18" s="178">
        <v>0.33514582803249654</v>
      </c>
      <c r="H18" s="178">
        <v>0.41926024157363778</v>
      </c>
      <c r="I18" s="178">
        <v>0.49085767699431754</v>
      </c>
      <c r="J18" s="178">
        <v>0.568661168458368</v>
      </c>
      <c r="K18" s="178">
        <v>0.65815241298745708</v>
      </c>
      <c r="L18" s="178">
        <v>0.73220702599450438</v>
      </c>
      <c r="M18" s="178">
        <v>0.90400583040831983</v>
      </c>
    </row>
    <row r="25" spans="1:23">
      <c r="B25">
        <v>4.4017261779319014E-2</v>
      </c>
      <c r="C25">
        <v>2.6184994610747008E-2</v>
      </c>
      <c r="D25">
        <v>5.4285950408667197E-2</v>
      </c>
      <c r="E25">
        <v>3.2615279165296801E-2</v>
      </c>
      <c r="F25">
        <v>7.3040820587530558E-2</v>
      </c>
      <c r="G25">
        <v>4.2446008940387095E-2</v>
      </c>
      <c r="H25">
        <v>9.2876758682182231E-2</v>
      </c>
      <c r="I25">
        <v>4.9547826425748558E-2</v>
      </c>
      <c r="J25">
        <v>0.16713251490462155</v>
      </c>
      <c r="K25">
        <v>9.184706544262973E-2</v>
      </c>
      <c r="L25">
        <v>0.30784222767399932</v>
      </c>
      <c r="M25">
        <v>0.1561025374758582</v>
      </c>
      <c r="N25">
        <v>0.50354948059663884</v>
      </c>
      <c r="O25">
        <v>0.27679058979875504</v>
      </c>
      <c r="P25">
        <v>0.60466887886148357</v>
      </c>
      <c r="Q25">
        <v>0.41461457216243081</v>
      </c>
      <c r="R25">
        <v>0.68186755154459333</v>
      </c>
      <c r="S25">
        <v>0.5</v>
      </c>
      <c r="T25">
        <v>0.80000000000000016</v>
      </c>
      <c r="U25">
        <v>0.6318675515445934</v>
      </c>
      <c r="V25">
        <v>0.97</v>
      </c>
      <c r="W25">
        <v>0.93274702061783721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COMPARAR</vt:lpstr>
      <vt:lpstr>Hoja1</vt:lpstr>
      <vt:lpstr>INSUM_1</vt:lpstr>
      <vt:lpstr>ADMIN</vt:lpstr>
      <vt:lpstr>INSUMO</vt:lpstr>
      <vt:lpstr>BLOQUEOS CONFIS</vt:lpstr>
      <vt:lpstr>REPORTE</vt:lpstr>
      <vt:lpstr>REPORTE_ENTIDAD</vt:lpstr>
      <vt:lpstr>META</vt:lpstr>
      <vt:lpstr>PRESIDENCIA</vt:lpstr>
      <vt:lpstr>BI RECURSOS</vt:lpstr>
      <vt:lpstr>REPORTE_ENTIDAD!Área_de_impresión</vt:lpstr>
      <vt:lpstr>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Mendoza</dc:creator>
  <cp:lastModifiedBy>JOHNRONDON</cp:lastModifiedBy>
  <cp:lastPrinted>2022-11-29T14:41:20Z</cp:lastPrinted>
  <dcterms:created xsi:type="dcterms:W3CDTF">2018-02-01T19:26:25Z</dcterms:created>
  <dcterms:modified xsi:type="dcterms:W3CDTF">2023-08-28T16:51:42Z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cbfc8293-7467-43c1-b64c-35e03b838a66</vt:lpwstr>
  </property>
  <property fmtid="{D5CDD505-2E9C-101B-9397-08002B2CF9AE}" pid="3" name="Workbook type">
    <vt:lpwstr>Custom</vt:lpwstr>
  </property>
  <property fmtid="{D5CDD505-2E9C-101B-9397-08002B2CF9AE}" pid="4" name="Workbook version">
    <vt:lpwstr>Custom</vt:lpwstr>
  </property>
</Properties>
</file>