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icminambiente-my.sharepoint.com/personal/zpiedrahita_minambiente_gov_co/Documents/Grupo Gestión del Riesgo_2025/EDANA-C/Actualizacion/"/>
    </mc:Choice>
  </mc:AlternateContent>
  <xr:revisionPtr revIDLastSave="79" documentId="8_{37A256F8-42F6-4423-B674-F347B6496AC3}" xr6:coauthVersionLast="47" xr6:coauthVersionMax="47" xr10:uidLastSave="{D176EBEE-FBA8-447D-B2A9-7E7883E33408}"/>
  <bookViews>
    <workbookView xWindow="-120" yWindow="-120" windowWidth="20730" windowHeight="11160" xr2:uid="{B653589C-184E-4B41-9769-E1DD48650383}"/>
  </bookViews>
  <sheets>
    <sheet name="EDANA" sheetId="1" r:id="rId1"/>
    <sheet name="Variables - Valoración" sheetId="3" r:id="rId2"/>
    <sheet name="VEA Actividades" sheetId="4" r:id="rId3"/>
    <sheet name="Necesidad ambiental" sheetId="6" r:id="rId4"/>
    <sheet name="VEA-Información extra" sheetId="5" r:id="rId5"/>
  </sheets>
  <definedNames>
    <definedName name="_xlnm._FilterDatabase" localSheetId="1" hidden="1">'Variables - Valoración'!$B$5:$I$49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42" i="1"/>
  <c r="M43" i="1"/>
  <c r="M44" i="1"/>
  <c r="M40" i="1"/>
  <c r="K41" i="1"/>
  <c r="K42" i="1"/>
  <c r="K43" i="1"/>
  <c r="K44" i="1"/>
  <c r="K40" i="1"/>
  <c r="H41" i="1"/>
  <c r="H42" i="1"/>
  <c r="H43" i="1"/>
  <c r="H44" i="1"/>
  <c r="H40" i="1"/>
  <c r="M35" i="1"/>
  <c r="M34" i="1"/>
  <c r="M33" i="1"/>
  <c r="M28" i="1"/>
  <c r="M29" i="1"/>
  <c r="M30" i="1"/>
  <c r="M31" i="1"/>
  <c r="M32" i="1"/>
  <c r="M20" i="1"/>
  <c r="M21" i="1"/>
  <c r="M22" i="1"/>
  <c r="M23" i="1"/>
  <c r="M24" i="1"/>
  <c r="M25" i="1"/>
  <c r="M26" i="1"/>
  <c r="M27" i="1"/>
  <c r="M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9" i="1"/>
  <c r="F34" i="1"/>
  <c r="H34" i="1"/>
  <c r="AF12" i="6"/>
  <c r="AC12" i="6"/>
  <c r="R12" i="6"/>
  <c r="F12" i="6" s="1"/>
  <c r="Q12" i="6"/>
  <c r="E12" i="6" s="1"/>
  <c r="P12" i="6"/>
  <c r="S12" i="6" s="1"/>
  <c r="T12" i="6" s="1"/>
  <c r="AF11" i="6"/>
  <c r="AC11" i="6"/>
  <c r="R11" i="6"/>
  <c r="Q11" i="6"/>
  <c r="S11" i="6" s="1"/>
  <c r="F11" i="6" s="1"/>
  <c r="P11" i="6"/>
  <c r="AF10" i="6"/>
  <c r="AC10" i="6"/>
  <c r="R10" i="6"/>
  <c r="F10" i="6" s="1"/>
  <c r="Q10" i="6"/>
  <c r="E10" i="6" s="1"/>
  <c r="P10" i="6"/>
  <c r="D10" i="6" s="1"/>
  <c r="AF9" i="6"/>
  <c r="AC9" i="6"/>
  <c r="R9" i="6"/>
  <c r="Q9" i="6"/>
  <c r="P9" i="6"/>
  <c r="AF8" i="6"/>
  <c r="AC8" i="6"/>
  <c r="R8" i="6"/>
  <c r="Q8" i="6"/>
  <c r="E8" i="6" s="1"/>
  <c r="P8" i="6"/>
  <c r="F8" i="6"/>
  <c r="D8" i="6"/>
  <c r="AF7" i="6"/>
  <c r="AC7" i="6"/>
  <c r="R7" i="6"/>
  <c r="Q7" i="6"/>
  <c r="S7" i="6" s="1"/>
  <c r="P7" i="6"/>
  <c r="AF6" i="6"/>
  <c r="AC6" i="6"/>
  <c r="R6" i="6"/>
  <c r="Q6" i="6"/>
  <c r="P6" i="6"/>
  <c r="AF5" i="6"/>
  <c r="AC5" i="6"/>
  <c r="R5" i="6"/>
  <c r="Q5" i="6"/>
  <c r="E5" i="6" s="1"/>
  <c r="P5" i="6"/>
  <c r="F5" i="6"/>
  <c r="AF4" i="6"/>
  <c r="AC4" i="6"/>
  <c r="R4" i="6"/>
  <c r="F4" i="6" s="1"/>
  <c r="Q4" i="6"/>
  <c r="E4" i="6" s="1"/>
  <c r="P4" i="6"/>
  <c r="I4" i="6"/>
  <c r="AF3" i="6"/>
  <c r="AC3" i="6"/>
  <c r="R3" i="6"/>
  <c r="Q3" i="6"/>
  <c r="S3" i="6" s="1"/>
  <c r="T3" i="6" s="1"/>
  <c r="P3" i="6"/>
  <c r="F3" i="6"/>
  <c r="D3" i="6"/>
  <c r="AF12" i="4"/>
  <c r="AC12" i="4"/>
  <c r="R12" i="4"/>
  <c r="Q12" i="4"/>
  <c r="P12" i="4"/>
  <c r="S12" i="4" s="1"/>
  <c r="T12" i="4" s="1"/>
  <c r="F12" i="4"/>
  <c r="E12" i="4"/>
  <c r="AF11" i="4"/>
  <c r="AC11" i="4"/>
  <c r="R11" i="4"/>
  <c r="Q11" i="4"/>
  <c r="P11" i="4"/>
  <c r="AF10" i="4"/>
  <c r="AC10" i="4"/>
  <c r="R10" i="4"/>
  <c r="F10" i="4" s="1"/>
  <c r="Q10" i="4"/>
  <c r="E10" i="4" s="1"/>
  <c r="P10" i="4"/>
  <c r="D10" i="4" s="1"/>
  <c r="AF9" i="4"/>
  <c r="AC9" i="4"/>
  <c r="R9" i="4"/>
  <c r="Q9" i="4"/>
  <c r="P9" i="4"/>
  <c r="AF8" i="4"/>
  <c r="AC8" i="4"/>
  <c r="R8" i="4"/>
  <c r="Q8" i="4"/>
  <c r="P8" i="4"/>
  <c r="D8" i="4" s="1"/>
  <c r="F8" i="4"/>
  <c r="AF7" i="4"/>
  <c r="AC7" i="4"/>
  <c r="R7" i="4"/>
  <c r="Q7" i="4"/>
  <c r="P7" i="4"/>
  <c r="AF6" i="4"/>
  <c r="AC6" i="4"/>
  <c r="R6" i="4"/>
  <c r="Q6" i="4"/>
  <c r="P6" i="4"/>
  <c r="S6" i="4" s="1"/>
  <c r="AF5" i="4"/>
  <c r="AC5" i="4"/>
  <c r="R5" i="4"/>
  <c r="Q5" i="4"/>
  <c r="E5" i="4" s="1"/>
  <c r="P5" i="4"/>
  <c r="F5" i="4"/>
  <c r="D5" i="4"/>
  <c r="M80" i="1" s="1"/>
  <c r="AF4" i="4"/>
  <c r="AC4" i="4"/>
  <c r="R4" i="4"/>
  <c r="F4" i="4" s="1"/>
  <c r="Q4" i="4"/>
  <c r="E4" i="4" s="1"/>
  <c r="P4" i="4"/>
  <c r="D4" i="4" s="1"/>
  <c r="I4" i="4"/>
  <c r="AF3" i="4"/>
  <c r="AC3" i="4"/>
  <c r="R3" i="4"/>
  <c r="Q3" i="4"/>
  <c r="E3" i="4" s="1"/>
  <c r="P3" i="4"/>
  <c r="D3" i="4" s="1"/>
  <c r="F3" i="4"/>
  <c r="M111" i="1"/>
  <c r="M108" i="1"/>
  <c r="L44" i="1"/>
  <c r="I44" i="1"/>
  <c r="L42" i="1"/>
  <c r="I42" i="1"/>
  <c r="L41" i="1"/>
  <c r="I41" i="1"/>
  <c r="L40" i="1"/>
  <c r="I40" i="1"/>
  <c r="H35" i="1"/>
  <c r="F35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L19" i="1"/>
  <c r="I19" i="1"/>
  <c r="H19" i="1"/>
  <c r="F19" i="1"/>
  <c r="G8" i="6" l="1"/>
  <c r="S5" i="4"/>
  <c r="T5" i="4" s="1"/>
  <c r="S7" i="4"/>
  <c r="S5" i="6"/>
  <c r="T5" i="6" s="1"/>
  <c r="D12" i="4"/>
  <c r="G12" i="4" s="1"/>
  <c r="G5" i="4"/>
  <c r="S9" i="4"/>
  <c r="F9" i="4" s="1"/>
  <c r="E3" i="6"/>
  <c r="G3" i="6" s="1"/>
  <c r="S4" i="6"/>
  <c r="T4" i="6" s="1"/>
  <c r="S8" i="6"/>
  <c r="T8" i="6" s="1"/>
  <c r="M77" i="1"/>
  <c r="M83" i="1"/>
  <c r="M88" i="1"/>
  <c r="M78" i="1"/>
  <c r="M84" i="1"/>
  <c r="M91" i="1"/>
  <c r="G3" i="4"/>
  <c r="G10" i="6"/>
  <c r="S11" i="4"/>
  <c r="D4" i="6"/>
  <c r="D12" i="6"/>
  <c r="G12" i="6" s="1"/>
  <c r="M101" i="1"/>
  <c r="S8" i="4"/>
  <c r="T8" i="4" s="1"/>
  <c r="D5" i="6"/>
  <c r="S6" i="6"/>
  <c r="D6" i="6" s="1"/>
  <c r="G6" i="6" s="1"/>
  <c r="S9" i="6"/>
  <c r="E9" i="6" s="1"/>
  <c r="G10" i="4"/>
  <c r="S3" i="4"/>
  <c r="T3" i="4" s="1"/>
  <c r="G4" i="4"/>
  <c r="E8" i="4"/>
  <c r="G8" i="4" s="1"/>
  <c r="S10" i="4"/>
  <c r="T10" i="4" s="1"/>
  <c r="S10" i="6"/>
  <c r="T10" i="6" s="1"/>
  <c r="T7" i="4"/>
  <c r="D7" i="4"/>
  <c r="F7" i="4"/>
  <c r="E7" i="4"/>
  <c r="T6" i="6"/>
  <c r="E6" i="6"/>
  <c r="F9" i="6"/>
  <c r="E11" i="4"/>
  <c r="T11" i="4"/>
  <c r="D11" i="4"/>
  <c r="F11" i="4"/>
  <c r="F6" i="4"/>
  <c r="E6" i="4"/>
  <c r="T6" i="4"/>
  <c r="D6" i="4"/>
  <c r="E7" i="6"/>
  <c r="T7" i="6"/>
  <c r="D7" i="6"/>
  <c r="G7" i="6" s="1"/>
  <c r="F7" i="6"/>
  <c r="S4" i="4"/>
  <c r="T4" i="4" s="1"/>
  <c r="D9" i="4"/>
  <c r="D11" i="6"/>
  <c r="G11" i="6" s="1"/>
  <c r="T11" i="6"/>
  <c r="E9" i="4"/>
  <c r="E11" i="6"/>
  <c r="D9" i="6" l="1"/>
  <c r="F6" i="6"/>
  <c r="G5" i="6"/>
  <c r="M103" i="1"/>
  <c r="G4" i="6"/>
  <c r="C13" i="6" s="1"/>
  <c r="M100" i="1"/>
  <c r="G6" i="4"/>
  <c r="G7" i="4"/>
  <c r="M87" i="1"/>
  <c r="M89" i="1" s="1"/>
  <c r="M90" i="1"/>
  <c r="M92" i="1" s="1"/>
  <c r="M85" i="1"/>
  <c r="M86" i="1" s="1"/>
  <c r="G9" i="4"/>
  <c r="M79" i="1"/>
  <c r="M82" i="1" s="1"/>
  <c r="G11" i="4"/>
  <c r="G9" i="6"/>
  <c r="M102" i="1"/>
  <c r="M104" i="1" s="1"/>
  <c r="M112" i="1" s="1"/>
  <c r="C13" i="4" l="1"/>
  <c r="M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tc={5F6C40DD-879A-4008-96B0-5C652299D8D6}</author>
    <author>tc={134751E7-85E3-4C6C-B4A6-AA16D53BF055}</author>
  </authors>
  <commentList>
    <comment ref="F41" authorId="0" shapeId="0" xr:uid="{5F6C40DD-879A-4008-96B0-5C652299D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mirar estudios de agua de los entes territoriales</t>
      </text>
    </comment>
    <comment ref="E42" authorId="1" shapeId="0" xr:uid="{134751E7-85E3-4C6C-B4A6-AA16D53BF0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Inventarios de trabajos de grado (maestrias, doctorados) 
Distribución potencial de especies: Tremarctos -  http://www.tremarctoscolombia.org/
Diversidad de especies: https://biodiversidad.co/
Mapa de integridad de ecosistemas - Humboldt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I2" authorId="0" shapeId="0" xr:uid="{CA9A4CE7-618B-4867-87FE-FF552821E65F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ESTO ES ESTANDAR PARA TODO EL PAIS?</t>
        </r>
      </text>
    </comment>
    <comment ref="Y2" authorId="0" shapeId="0" xr:uid="{BE9B2828-A1E8-4457-8BEC-BE14F2C0FD1D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A2" authorId="0" shapeId="0" xr:uid="{FDC98701-E241-4E46-8923-D947884ED56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E2" authorId="0" shapeId="0" xr:uid="{9E701684-A8D8-47AE-B8CD-B1F487FF864B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REVISAR EL VALOR DEL TRABAJO POR HECTAREAS SEGÚN LOS RECURSOS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I2" authorId="0" shapeId="0" xr:uid="{B3AE6601-40C4-4CC4-97E3-42218E264A84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ESTO ES ESTANDAR PARA TODO EL PAIS?</t>
        </r>
      </text>
    </comment>
    <comment ref="Y2" authorId="0" shapeId="0" xr:uid="{C0AFE502-F623-4406-9CA5-B14302F6466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A2" authorId="0" shapeId="0" xr:uid="{51FF1FD1-E33F-4469-82B3-758249F14A61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E2" authorId="0" shapeId="0" xr:uid="{F93145D6-3540-43F2-9ED6-ED471006061A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REVISAR EL VALOR DEL TRABAJO POR HECTAREAS SEGÚN LOS RECURSOS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E1" authorId="0" shapeId="0" xr:uid="{B6127207-9957-4B2D-A7EB-CA252408E7D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PREGUNTAR POR QUE EL VALOR DEL FACTOR DE AJUSTE DE DONDE LO TOMAN?
RECUPERABILIDAD
</t>
        </r>
      </text>
    </comment>
  </commentList>
</comments>
</file>

<file path=xl/sharedStrings.xml><?xml version="1.0" encoding="utf-8"?>
<sst xmlns="http://schemas.openxmlformats.org/spreadsheetml/2006/main" count="544" uniqueCount="290">
  <si>
    <t xml:space="preserve"> Procedimiento de reporte de  Evaluación de Daños y Análsis Necesidades Ambientales pos desastre  Continental  EDANA C</t>
  </si>
  <si>
    <t>Proceso: Gestión del Riesgo</t>
  </si>
  <si>
    <t xml:space="preserve">Versión: </t>
  </si>
  <si>
    <t>Descripción General del evento</t>
  </si>
  <si>
    <t>Nombre del responsable de datos</t>
  </si>
  <si>
    <t>Fecha de inspección</t>
  </si>
  <si>
    <t>Entidad</t>
  </si>
  <si>
    <t>Fecha de Evento</t>
  </si>
  <si>
    <t>Tipo de Evento</t>
  </si>
  <si>
    <t>Municipio</t>
  </si>
  <si>
    <t>Departamento</t>
  </si>
  <si>
    <t xml:space="preserve">Coordenadas </t>
  </si>
  <si>
    <t>lat:</t>
  </si>
  <si>
    <t>long:</t>
  </si>
  <si>
    <t>Veredas</t>
  </si>
  <si>
    <t xml:space="preserve">Zona de importancia Ambiental </t>
  </si>
  <si>
    <t>Factor detonante del evento</t>
  </si>
  <si>
    <t>Estado del evento</t>
  </si>
  <si>
    <t>Evaluación de daño ambiental</t>
  </si>
  <si>
    <t>Evaluación cuantitativa</t>
  </si>
  <si>
    <t>Recurso</t>
  </si>
  <si>
    <t>Factor de ponderación</t>
  </si>
  <si>
    <t>Tipo de cobertura en nivel III</t>
  </si>
  <si>
    <t>Valoración de área de importancia ambiental</t>
  </si>
  <si>
    <t>Porcentaje de condición linea base</t>
  </si>
  <si>
    <t>Valor de condición linea base</t>
  </si>
  <si>
    <t>Condición inicial del recurso</t>
  </si>
  <si>
    <t>Porcentaje de condición post-evento</t>
  </si>
  <si>
    <t>Valor de condición post-evento</t>
  </si>
  <si>
    <t>Condición final del recurso</t>
  </si>
  <si>
    <t>Afectación</t>
  </si>
  <si>
    <t>Tipo de Cobertura de la tierra</t>
  </si>
  <si>
    <t>Otros cultivos transitorios</t>
  </si>
  <si>
    <t>Cereales</t>
  </si>
  <si>
    <t>Cultivos permanentes herbáceos</t>
  </si>
  <si>
    <t>Pastos limpios</t>
  </si>
  <si>
    <t>Pastos enmalezados</t>
  </si>
  <si>
    <t>Mosaico de pastos con espacios naturales</t>
  </si>
  <si>
    <t>Bosque denso</t>
  </si>
  <si>
    <t>Bosque abierto</t>
  </si>
  <si>
    <t>Bosque de galería y/o ripario</t>
  </si>
  <si>
    <t>Plantación forestal</t>
  </si>
  <si>
    <t>Herbazal</t>
  </si>
  <si>
    <t>Vegetación secundaria o en transición</t>
  </si>
  <si>
    <t>Zonas arenosas naturales</t>
  </si>
  <si>
    <t>Tierras desnudas y degradadas</t>
  </si>
  <si>
    <t>Ríos (50 m)</t>
  </si>
  <si>
    <t>Evaluación Cualitativa</t>
  </si>
  <si>
    <t>Variables</t>
  </si>
  <si>
    <t>Indicador de cambio</t>
  </si>
  <si>
    <t>Suelo</t>
  </si>
  <si>
    <t>Carácterísticas visuales del suelo</t>
  </si>
  <si>
    <t>Procesos erosivos (Morfodinamica)</t>
  </si>
  <si>
    <t>Hidrico</t>
  </si>
  <si>
    <t>Superficial</t>
  </si>
  <si>
    <t>Calidad del agua superficial</t>
  </si>
  <si>
    <t>Fauna</t>
  </si>
  <si>
    <t>Diversidad de especies</t>
  </si>
  <si>
    <t xml:space="preserve">Integridad </t>
  </si>
  <si>
    <t>distribución potencial de las especies en términos de vulnerabilidad - diversidad de especies</t>
  </si>
  <si>
    <t>Flora</t>
  </si>
  <si>
    <t>Riqueza y diversidad</t>
  </si>
  <si>
    <t>Resultado de la evaluación cualitativa</t>
  </si>
  <si>
    <t>Afectación de servicios ecosistémicos</t>
  </si>
  <si>
    <t>Depuración del agua</t>
  </si>
  <si>
    <t>Regulación climática</t>
  </si>
  <si>
    <t>Fertilidad del suelo</t>
  </si>
  <si>
    <t>Polinización</t>
  </si>
  <si>
    <t>Valoración Económica del daño</t>
  </si>
  <si>
    <t>Alta afectación</t>
  </si>
  <si>
    <t>Construcción de trinchos (metros)</t>
  </si>
  <si>
    <t>Valor Actividad $</t>
  </si>
  <si>
    <t>Siembras (reforestación)</t>
  </si>
  <si>
    <t>Segumiento y Monitoreo</t>
  </si>
  <si>
    <t>Contrucción de cunetas o zanjas</t>
  </si>
  <si>
    <t>SUBTOTAL ALTA</t>
  </si>
  <si>
    <t>Media afectación</t>
  </si>
  <si>
    <t>SUBTOTAL MEDIA</t>
  </si>
  <si>
    <t>Baja afectación</t>
  </si>
  <si>
    <t>Muy baja afectación</t>
  </si>
  <si>
    <t>Sin afectación</t>
  </si>
  <si>
    <t>Si existen áreas dentro del poligono establecido que no presentan afectación</t>
  </si>
  <si>
    <t>Total</t>
  </si>
  <si>
    <t>Valoración Económica de la Necesidad Ambiental</t>
  </si>
  <si>
    <t xml:space="preserve">linea base y diagnostico </t>
  </si>
  <si>
    <t>Temática</t>
  </si>
  <si>
    <t>Tipo de cobertura</t>
  </si>
  <si>
    <t xml:space="preserve">Calificación para afectación </t>
  </si>
  <si>
    <t xml:space="preserve">Categoría Afectación </t>
  </si>
  <si>
    <t>Condición del ecosistema</t>
  </si>
  <si>
    <t xml:space="preserve">Servicios ecosistémicos </t>
  </si>
  <si>
    <t xml:space="preserve">Estimación </t>
  </si>
  <si>
    <t xml:space="preserve">descripción </t>
  </si>
  <si>
    <t>Cobertura Corine land cover</t>
  </si>
  <si>
    <t xml:space="preserve">Baja </t>
  </si>
  <si>
    <t>Colapsado</t>
  </si>
  <si>
    <t>Hábitat para especies</t>
  </si>
  <si>
    <t>Peligro crítico</t>
  </si>
  <si>
    <t>Amortiguación de perturbaciones</t>
  </si>
  <si>
    <t>Oleaginosas y leguminosas</t>
  </si>
  <si>
    <t>Vulnerable</t>
  </si>
  <si>
    <t>Purificación del aire</t>
  </si>
  <si>
    <t>Hortalizas</t>
  </si>
  <si>
    <t>Casi amenazado</t>
  </si>
  <si>
    <t>Tubérculos</t>
  </si>
  <si>
    <t>Preocupación menor</t>
  </si>
  <si>
    <t>Control de la erosión</t>
  </si>
  <si>
    <t>Equilibrio ecologico</t>
  </si>
  <si>
    <t>Cultivos permanentes arbustivos</t>
  </si>
  <si>
    <t>Cultivos permanentes arbóreos</t>
  </si>
  <si>
    <t>Media</t>
  </si>
  <si>
    <t>Cultivos agroforestales</t>
  </si>
  <si>
    <t>Regulación hídrica</t>
  </si>
  <si>
    <t>Cultivos confinados</t>
  </si>
  <si>
    <t>Control biológico</t>
  </si>
  <si>
    <t>Pastos arbolados</t>
  </si>
  <si>
    <t>Prevención y reducción de riesgos</t>
  </si>
  <si>
    <t>Fijación y almacenamiento de carbono</t>
  </si>
  <si>
    <t>Mosaico de cultivos</t>
  </si>
  <si>
    <t>Mosaico de pastos y cultivos</t>
  </si>
  <si>
    <t>Mosaico de cultivos, pastos y espacios naturales</t>
  </si>
  <si>
    <t>Mosaico de cultivos y espacios naturales</t>
  </si>
  <si>
    <t>Alta</t>
  </si>
  <si>
    <t>Bosque fragmentado</t>
  </si>
  <si>
    <t>Arbustal</t>
  </si>
  <si>
    <t>Afloramientos rocosos</t>
  </si>
  <si>
    <t>Zonas quemadas</t>
  </si>
  <si>
    <t>Zonas glaciares y nivales</t>
  </si>
  <si>
    <t>Zonas pantanosas</t>
  </si>
  <si>
    <t>Turberas</t>
  </si>
  <si>
    <t>Vegetación acuática sobre cuerpos de agua</t>
  </si>
  <si>
    <t>Pantanos costeros</t>
  </si>
  <si>
    <t>Salitral</t>
  </si>
  <si>
    <t>Sedimentos expuestos en bajamar</t>
  </si>
  <si>
    <t>Lagunas, lagos y ciénagas naturales</t>
  </si>
  <si>
    <t>Canales</t>
  </si>
  <si>
    <t>Cuerpos de agua artificiales</t>
  </si>
  <si>
    <t>Lagunas costeras</t>
  </si>
  <si>
    <t>Mares y océanos</t>
  </si>
  <si>
    <t>Estanques para acuicultura marina</t>
  </si>
  <si>
    <t>Evaluación de condición</t>
  </si>
  <si>
    <t>Valoración del equipo EDANA-C</t>
  </si>
  <si>
    <t>Categoria según la calificación</t>
  </si>
  <si>
    <t>Parámetro</t>
  </si>
  <si>
    <t>0-20%</t>
  </si>
  <si>
    <t>Crítico</t>
  </si>
  <si>
    <t>21% - 40%</t>
  </si>
  <si>
    <t>Malo</t>
  </si>
  <si>
    <t>41% - 60%</t>
  </si>
  <si>
    <t>Aceptable</t>
  </si>
  <si>
    <t>61% - 80%</t>
  </si>
  <si>
    <t>Bueno</t>
  </si>
  <si>
    <t>81% - 100%</t>
  </si>
  <si>
    <t>Óptimo</t>
  </si>
  <si>
    <t>Valoración de la afectación</t>
  </si>
  <si>
    <t>Resultado de la evaluación</t>
  </si>
  <si>
    <t>75%-100%</t>
  </si>
  <si>
    <t>51%-75%</t>
  </si>
  <si>
    <t>26%-50%</t>
  </si>
  <si>
    <t>1-25%</t>
  </si>
  <si>
    <t>#</t>
  </si>
  <si>
    <t xml:space="preserve">Actividades </t>
  </si>
  <si>
    <t>Valoración económica Ambiental de la Actividad Afectación Alta ($/Unidad medida territorio)</t>
  </si>
  <si>
    <t>Valoración económica Ambiental de la Actividad Afectación Media ($/Unidad medida territorio)</t>
  </si>
  <si>
    <t>Valoración Económica de la Actividad  Afectación Baja ($/Unidad medida territorio)</t>
  </si>
  <si>
    <t>Valoración Económica Ambiental</t>
  </si>
  <si>
    <t>Unidad de Medida utlizada</t>
  </si>
  <si>
    <t>Cantidad Medida Utilizada</t>
  </si>
  <si>
    <t>Categoría Daño 1</t>
  </si>
  <si>
    <t>Valor Asignado Categoría Daño 1</t>
  </si>
  <si>
    <t>Categoría Daño 2</t>
  </si>
  <si>
    <t>Valor Asignado Categoría Daño 2</t>
  </si>
  <si>
    <t>Categoría Daño 3</t>
  </si>
  <si>
    <t>Valor Asignado Categoría Daño 3</t>
  </si>
  <si>
    <t>Hectáreas Categoría 1</t>
  </si>
  <si>
    <t>Hectáreas Categoría 2</t>
  </si>
  <si>
    <t>Hectáreas Categoría 3</t>
  </si>
  <si>
    <t>Área Total de interés (hectáreas o metros)</t>
  </si>
  <si>
    <t>Área de Restauración</t>
  </si>
  <si>
    <t>Frecuencia Cobertura/Muestra 1</t>
  </si>
  <si>
    <t>Valor Frecuencia Cobertura/Muestra 1</t>
  </si>
  <si>
    <t>Frecuencia Cobertura/Muestra 2</t>
  </si>
  <si>
    <t>Valor Frecuencia Cobertura/Muestra 2</t>
  </si>
  <si>
    <t>Frecuencia Cobertura/Muestra 3</t>
  </si>
  <si>
    <t>Valor Frecuencia Cobertura/Muestra 3</t>
  </si>
  <si>
    <t>Frecuencia Cobertura/Muestra 4</t>
  </si>
  <si>
    <t>Valor Frecuencia Cobertura/Muestra 4</t>
  </si>
  <si>
    <t>Promedio Frecuencias de Cobertura/Muestra</t>
  </si>
  <si>
    <t>Actividad Realizada/Personal Contratado</t>
  </si>
  <si>
    <t xml:space="preserve">Valor Actividad Realizada/Contratación </t>
  </si>
  <si>
    <t>Valor Constante Actividad Realizada/Personal Contratado $</t>
  </si>
  <si>
    <t>Tala y poda (hectáreas)</t>
  </si>
  <si>
    <t>Número de Días requeridos por Hectárea</t>
  </si>
  <si>
    <t>Baja</t>
  </si>
  <si>
    <t>Restauración Jornal</t>
  </si>
  <si>
    <t>(Número de días requeridos por 1 hectárea+Costo Trinchos Materiales por 1 hectárea)</t>
  </si>
  <si>
    <t>Número de días requeridos por 1 hectárea</t>
  </si>
  <si>
    <t>Análisis fisicoquímico del suelo</t>
  </si>
  <si>
    <t>Número de coberturas*Número de muestras por cobertura</t>
  </si>
  <si>
    <t>Costo Unitario DAF</t>
  </si>
  <si>
    <t>Análisis fisicoquímico del agua</t>
  </si>
  <si>
    <t xml:space="preserve">Número de Hectáreas </t>
  </si>
  <si>
    <t>Insumos para siembra por ha</t>
  </si>
  <si>
    <t>Número de Monitoreos</t>
  </si>
  <si>
    <t>Costo Monitoreo</t>
  </si>
  <si>
    <t>Sobre vuelo drone</t>
  </si>
  <si>
    <t xml:space="preserve">Sobre vuelo Drone </t>
  </si>
  <si>
    <t>Estudios y diseños</t>
  </si>
  <si>
    <t>Número de estudios y diseños</t>
  </si>
  <si>
    <t>Costo estudios y diseños</t>
  </si>
  <si>
    <t>Costo Estimado Remoción de Escombros</t>
  </si>
  <si>
    <t>Costo Estimado Remoción de escombros</t>
  </si>
  <si>
    <t>TOTAL</t>
  </si>
  <si>
    <t>Nivel I</t>
  </si>
  <si>
    <t>Nivel II</t>
  </si>
  <si>
    <t xml:space="preserve">Factor de ajuste </t>
  </si>
  <si>
    <t>Nivel III</t>
  </si>
  <si>
    <t>Categoría</t>
  </si>
  <si>
    <t>Factor de ajuste Nivel del Daño</t>
  </si>
  <si>
    <t>1. TERRITORIOS ARTIFICIALIZADOS</t>
  </si>
  <si>
    <t>1.1. Zonas urbanizadas</t>
  </si>
  <si>
    <t>1.1.1. Tejido urbano continúo</t>
  </si>
  <si>
    <t>1.1.2. Tejido urbano discontinuo</t>
  </si>
  <si>
    <t>1.1.3. Construcciones rurales</t>
  </si>
  <si>
    <t>1.2. Zonas industriales o comerciales y redes de comunicación</t>
  </si>
  <si>
    <t xml:space="preserve">1.2.1. Zonas
industriales o comerciales
</t>
  </si>
  <si>
    <t>1.2.2.        Red        vial, ferroviaria    y    terrenos asociados</t>
  </si>
  <si>
    <r>
      <rPr>
        <sz val="9"/>
        <rFont val="Arial"/>
        <family val="2"/>
      </rPr>
      <t>1.2.3. Zonas portuarias</t>
    </r>
  </si>
  <si>
    <t>1.2.4. Aeropuertos</t>
  </si>
  <si>
    <t>1.2.5. Obras hidráulicas</t>
  </si>
  <si>
    <t>1.3. Zonas de extracción minera y escombreras</t>
  </si>
  <si>
    <t>1.3.1.        Zonas        de extracción minera</t>
  </si>
  <si>
    <t>1.3.2.        Zonas        de disposición de residuos</t>
  </si>
  <si>
    <t>1.3.3 Zonas en construcción</t>
  </si>
  <si>
    <t>1.4. Zonas verdes artificializadas, no agrícolas</t>
  </si>
  <si>
    <t>1.4.1. Zonas verdes urbanas y rurales</t>
  </si>
  <si>
    <t>1.4.2 Instalaciones deportivas y recreativas</t>
  </si>
  <si>
    <t>2. TERRITORIOS AGRÍCOLAS</t>
  </si>
  <si>
    <t>2.1. Cultivos transitorios</t>
  </si>
  <si>
    <t>2.1.1.    Otros    cultivos transitorios</t>
  </si>
  <si>
    <t>2.1.2. Cereales</t>
  </si>
  <si>
    <t>2.1.3.    Oleaginosas    y leguminosas</t>
  </si>
  <si>
    <t>2.1.4. Hortalizas</t>
  </si>
  <si>
    <t>2.1.5. Tubérculos</t>
  </si>
  <si>
    <t>2.2. Cultivos permanentes</t>
  </si>
  <si>
    <t>2.2.1.                 Cultivos permanentes herbáceos</t>
  </si>
  <si>
    <t>2.2.2.                 Cultivos permanentes arbustivos</t>
  </si>
  <si>
    <t>2.2.3.                 Cultivos permanentes arbóreos</t>
  </si>
  <si>
    <t>2.2.4.                 Cultivos agroforestales</t>
  </si>
  <si>
    <t>2.2.5.                 Cultivos confinados</t>
  </si>
  <si>
    <t>2.3. Pastos</t>
  </si>
  <si>
    <t>2.3.1. Pastos limpios</t>
  </si>
  <si>
    <t>2.3.2. Pastos arbolados</t>
  </si>
  <si>
    <t>2.3.3. Pastos enmalezados</t>
  </si>
  <si>
    <t>2.4. Áreas agrícolas heterogéneas</t>
  </si>
  <si>
    <t>2.4.1. Mosaico de cultivos</t>
  </si>
  <si>
    <t>2.4.2. Mosaico de pastos y cultivos</t>
  </si>
  <si>
    <t>2.4.3. Mosaico de cultivos, pastos y espacios naturales</t>
  </si>
  <si>
    <t>2.4.4. Mosaico de pastos con espacios naturales</t>
  </si>
  <si>
    <t>2.4.5. Mosaico de cultivos con espacios naturales</t>
  </si>
  <si>
    <t>3. BOSQUES Y ÁREAS SEMI-NATURALES</t>
  </si>
  <si>
    <t>3.1. Bosques</t>
  </si>
  <si>
    <t>3.1.1. Bosque denso</t>
  </si>
  <si>
    <t>3.1.2. Bosque abierto</t>
  </si>
  <si>
    <t>3.1.3.                 Bosque fragmentado</t>
  </si>
  <si>
    <t>3.1.4. Bosque de galería o ripario</t>
  </si>
  <si>
    <t>3.1.5. Plantación forestal</t>
  </si>
  <si>
    <t>3.2. Áreas con vegetación herbácea y/o arbustiva</t>
  </si>
  <si>
    <t>3.2.1. Herbazal</t>
  </si>
  <si>
    <t>3.2.2. Arbustal</t>
  </si>
  <si>
    <t>3.2.3.            Vegetación
secundaria        o        en transición</t>
  </si>
  <si>
    <t>3.2.4 Matorral boscoso de transición</t>
  </si>
  <si>
    <t>3.3. Áreas abiertas, sin o con poca vegetación</t>
  </si>
  <si>
    <t>3.3.1.  Zonas  arenosas naturales</t>
  </si>
  <si>
    <t>3.3.2.        Afloramientos rocosos</t>
  </si>
  <si>
    <t>3.3.3. Tierras desnudas y degradadas</t>
  </si>
  <si>
    <t>3.3.4. Zonas quemadas</t>
  </si>
  <si>
    <t>4. AREAS HUMEDAS</t>
  </si>
  <si>
    <t>4.1. Áreas húmedas continentales</t>
  </si>
  <si>
    <t>4.1.1.     Humedales     y Zonas Pantanosas</t>
  </si>
  <si>
    <t>4.1.2. Turberas</t>
  </si>
  <si>
    <t>4.1.3.            Vegetación acuática   sobre   cuerpo de agua</t>
  </si>
  <si>
    <t>5. Superficies de Agua</t>
  </si>
  <si>
    <t>5.1. Aguas continentales</t>
  </si>
  <si>
    <t>5.1.1.  Ríos,  (quebradas y rondas)</t>
  </si>
  <si>
    <t>5.1.2. Lagunas, lagos  y ciénagas naturales</t>
  </si>
  <si>
    <t>5.1.3.        Canales        - (Vallados y acequias)</t>
  </si>
  <si>
    <t>5.1.4. Cuerpos de agua artificiales</t>
  </si>
  <si>
    <t>11(3,3)</t>
  </si>
  <si>
    <t>Porcentaje de condición pos-evento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</si>
</sst>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.0%"/>
    <numFmt numFmtId="165" formatCode="0.000"/>
    <numFmt numFmtId="166" formatCode="_-&quot;$&quot;* #,##0_-;\-&quot;$&quot;* #,##0_-;_-&quot;$&quot;* &quot;-&quot;_-;_-@_-"/>
    <numFmt numFmtId="167" formatCode="_-&quot;$&quot;* #,##0.0_-;\-&quot;$&quot;* #,##0.0_-;_-&quot;$&quot;* &quot;-&quot;_-;_-@_-"/>
    <numFmt numFmtId="168" formatCode="&quot;$&quot;#,##0"/>
    <numFmt numFmtId="169" formatCode="&quot;$&quot;#,##0.00"/>
    <numFmt numFmtId="170" formatCode="&quot;$&quot;\ #,##0.000"/>
    <numFmt numFmtId="171" formatCode="&quot;$&quot;\ #,##0"/>
  </numFmts>
  <fonts count="3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8"/>
      <name val="Aptos Display"/>
      <family val="2"/>
      <scheme val="major"/>
    </font>
    <font>
      <sz val="8"/>
      <name val="Arial Narrow"/>
      <family val="2"/>
    </font>
    <font>
      <sz val="10"/>
      <color theme="0" tint="-0.34998626667073579"/>
      <name val="Arial Narrow"/>
      <family val="2"/>
    </font>
    <font>
      <sz val="8"/>
      <color theme="1"/>
      <name val="Aptos Display"/>
      <family val="2"/>
      <scheme val="major"/>
    </font>
    <font>
      <sz val="8"/>
      <color theme="1"/>
      <name val="Arial Narrow"/>
      <family val="2"/>
    </font>
    <font>
      <sz val="9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9"/>
      <color theme="1"/>
      <name val="Aptos Display"/>
      <family val="2"/>
      <scheme val="major"/>
    </font>
    <font>
      <sz val="9"/>
      <color theme="0" tint="-0.499984740745262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9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i/>
      <sz val="12"/>
      <color theme="2" tint="-0.499984740745262"/>
      <name val="Aptos Display"/>
      <family val="2"/>
      <scheme val="major"/>
    </font>
    <font>
      <i/>
      <sz val="8"/>
      <color theme="2" tint="-0.499984740745262"/>
      <name val="Aptos Display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i/>
      <sz val="14"/>
      <name val="Aptos Display"/>
      <family val="2"/>
      <scheme val="major"/>
    </font>
    <font>
      <i/>
      <sz val="12"/>
      <name val="Aptos Display"/>
      <family val="2"/>
      <scheme val="major"/>
    </font>
    <font>
      <sz val="14"/>
      <name val="Aptos Display"/>
      <family val="2"/>
      <scheme val="major"/>
    </font>
    <font>
      <b/>
      <sz val="11"/>
      <color theme="1"/>
      <name val="Arial Narrow"/>
      <family val="2"/>
    </font>
    <font>
      <b/>
      <sz val="12"/>
      <color theme="1"/>
      <name val="Aptos Display"/>
      <family val="2"/>
      <scheme val="major"/>
    </font>
    <font>
      <b/>
      <sz val="14"/>
      <color theme="1"/>
      <name val="Arial Narrow"/>
      <family val="2"/>
    </font>
    <font>
      <b/>
      <sz val="12"/>
      <color rgb="FF000000"/>
      <name val="Aptos"/>
      <family val="2"/>
    </font>
    <font>
      <sz val="18"/>
      <color theme="1"/>
      <name val="Aptos Narrow"/>
      <family val="2"/>
      <scheme val="minor"/>
    </font>
    <font>
      <sz val="12"/>
      <name val="Aptos Display"/>
      <family val="2"/>
      <scheme val="major"/>
    </font>
    <font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6BE54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auto="1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/>
      <diagonal/>
    </border>
    <border>
      <left style="medium">
        <color theme="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5"/>
      </right>
      <top style="thin">
        <color indexed="64"/>
      </top>
      <bottom/>
      <diagonal/>
    </border>
    <border>
      <left style="thin">
        <color indexed="64"/>
      </left>
      <right style="medium">
        <color theme="5"/>
      </right>
      <top/>
      <bottom/>
      <diagonal/>
    </border>
  </borders>
  <cellStyleXfs count="5">
    <xf numFmtId="0" fontId="0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64" fontId="9" fillId="0" borderId="5" xfId="0" applyNumberFormat="1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/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164" fontId="9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vertical="center"/>
    </xf>
    <xf numFmtId="44" fontId="9" fillId="0" borderId="18" xfId="1" applyFont="1" applyBorder="1" applyAlignment="1" applyProtection="1">
      <alignment horizontal="center" vertical="center" wrapText="1"/>
      <protection locked="0"/>
    </xf>
    <xf numFmtId="167" fontId="20" fillId="0" borderId="20" xfId="2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168" fontId="0" fillId="0" borderId="11" xfId="0" applyNumberFormat="1" applyBorder="1" applyAlignment="1">
      <alignment horizontal="left" vertical="center" wrapText="1"/>
    </xf>
    <xf numFmtId="169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5" fontId="0" fillId="2" borderId="11" xfId="0" applyNumberFormat="1" applyFill="1" applyBorder="1" applyAlignment="1">
      <alignment horizontal="left" vertical="center" wrapText="1"/>
    </xf>
    <xf numFmtId="168" fontId="0" fillId="0" borderId="11" xfId="3" applyNumberFormat="1" applyFont="1" applyBorder="1" applyAlignment="1">
      <alignment horizontal="center" vertical="center" wrapText="1"/>
    </xf>
    <xf numFmtId="170" fontId="0" fillId="0" borderId="11" xfId="0" applyNumberForma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69" fontId="1" fillId="2" borderId="11" xfId="0" applyNumberFormat="1" applyFont="1" applyFill="1" applyBorder="1" applyAlignment="1">
      <alignment horizontal="left" vertical="center" wrapText="1"/>
    </xf>
    <xf numFmtId="170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4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167" fontId="25" fillId="0" borderId="29" xfId="2" applyNumberFormat="1" applyFont="1" applyBorder="1" applyAlignment="1" applyProtection="1">
      <alignment horizontal="center" vertical="center" wrapText="1"/>
      <protection locked="0"/>
    </xf>
    <xf numFmtId="171" fontId="9" fillId="0" borderId="18" xfId="1" applyNumberFormat="1" applyFont="1" applyBorder="1" applyAlignment="1" applyProtection="1">
      <alignment horizontal="right" vertical="center" wrapText="1"/>
      <protection locked="0"/>
    </xf>
    <xf numFmtId="171" fontId="20" fillId="0" borderId="20" xfId="2" applyNumberFormat="1" applyFont="1" applyBorder="1" applyAlignment="1" applyProtection="1">
      <alignment horizontal="right" vertical="center" wrapText="1"/>
      <protection locked="0"/>
    </xf>
    <xf numFmtId="171" fontId="25" fillId="0" borderId="29" xfId="2" applyNumberFormat="1" applyFont="1" applyBorder="1" applyAlignment="1" applyProtection="1">
      <alignment horizontal="right" vertical="center" wrapText="1"/>
      <protection locked="0"/>
    </xf>
    <xf numFmtId="0" fontId="0" fillId="0" borderId="24" xfId="0" applyBorder="1" applyAlignment="1">
      <alignment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164" fontId="9" fillId="0" borderId="11" xfId="0" applyNumberFormat="1" applyFont="1" applyBorder="1" applyAlignment="1" applyProtection="1">
      <alignment horizontal="center" vertical="center" wrapText="1"/>
      <protection hidden="1"/>
    </xf>
    <xf numFmtId="9" fontId="9" fillId="0" borderId="11" xfId="4" applyFont="1" applyBorder="1" applyAlignment="1">
      <alignment horizontal="center" vertical="center" wrapText="1"/>
    </xf>
    <xf numFmtId="9" fontId="9" fillId="0" borderId="16" xfId="4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4" fontId="9" fillId="0" borderId="16" xfId="0" applyNumberFormat="1" applyFont="1" applyBorder="1" applyAlignment="1" applyProtection="1">
      <alignment horizontal="center" vertical="center" wrapText="1"/>
      <protection hidden="1"/>
    </xf>
    <xf numFmtId="164" fontId="12" fillId="0" borderId="7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 applyProtection="1">
      <alignment horizontal="center" vertical="center" wrapText="1"/>
      <protection hidden="1"/>
    </xf>
    <xf numFmtId="164" fontId="9" fillId="0" borderId="31" xfId="0" applyNumberFormat="1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>
      <alignment vertical="center"/>
    </xf>
    <xf numFmtId="0" fontId="24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/>
    </xf>
    <xf numFmtId="44" fontId="9" fillId="0" borderId="8" xfId="1" applyFont="1" applyBorder="1" applyAlignment="1" applyProtection="1">
      <alignment horizontal="center" vertical="center" wrapText="1"/>
      <protection locked="0"/>
    </xf>
    <xf numFmtId="167" fontId="20" fillId="0" borderId="8" xfId="2" applyNumberFormat="1" applyFont="1" applyBorder="1" applyAlignment="1" applyProtection="1">
      <alignment horizontal="center" vertical="center" wrapText="1"/>
      <protection locked="0"/>
    </xf>
    <xf numFmtId="167" fontId="9" fillId="0" borderId="8" xfId="2" applyNumberFormat="1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2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5" xfId="0" applyFont="1" applyBorder="1" applyAlignment="1">
      <alignment horizontal="centerContinuous" vertical="center"/>
    </xf>
    <xf numFmtId="0" fontId="31" fillId="0" borderId="6" xfId="0" applyFont="1" applyBorder="1" applyAlignment="1">
      <alignment horizontal="centerContinuous" vertical="center"/>
    </xf>
    <xf numFmtId="0" fontId="31" fillId="0" borderId="7" xfId="0" applyFont="1" applyBorder="1" applyAlignment="1">
      <alignment horizontal="centerContinuous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9" fillId="0" borderId="17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hidden="1"/>
    </xf>
    <xf numFmtId="164" fontId="9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9" fontId="9" fillId="0" borderId="0" xfId="4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9" fontId="9" fillId="0" borderId="2" xfId="4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0" fillId="8" borderId="11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164" fontId="9" fillId="0" borderId="7" xfId="0" applyNumberFormat="1" applyFont="1" applyBorder="1" applyAlignment="1" applyProtection="1">
      <alignment horizontal="center" vertical="center" wrapText="1"/>
      <protection hidden="1"/>
    </xf>
    <xf numFmtId="164" fontId="1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vertical="center" wrapText="1"/>
      <protection hidden="1"/>
    </xf>
    <xf numFmtId="0" fontId="12" fillId="8" borderId="34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>
      <alignment vertical="center"/>
    </xf>
    <xf numFmtId="165" fontId="9" fillId="0" borderId="1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9" fillId="0" borderId="16" xfId="0" applyNumberFormat="1" applyFont="1" applyBorder="1" applyAlignment="1" applyProtection="1">
      <alignment horizontal="center" vertical="center" wrapText="1"/>
      <protection hidden="1"/>
    </xf>
    <xf numFmtId="164" fontId="9" fillId="0" borderId="15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9" fillId="10" borderId="11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9" fontId="9" fillId="0" borderId="16" xfId="4" applyFont="1" applyBorder="1" applyAlignment="1">
      <alignment horizontal="center" vertical="center" wrapText="1"/>
    </xf>
    <xf numFmtId="9" fontId="9" fillId="0" borderId="24" xfId="4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9" fillId="0" borderId="7" xfId="0" applyNumberFormat="1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64" fontId="12" fillId="0" borderId="35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164" fontId="9" fillId="0" borderId="37" xfId="0" applyNumberFormat="1" applyFont="1" applyBorder="1" applyAlignment="1" applyProtection="1">
      <alignment horizontal="center" vertical="center" wrapText="1"/>
      <protection hidden="1"/>
    </xf>
    <xf numFmtId="164" fontId="9" fillId="0" borderId="38" xfId="0" applyNumberFormat="1" applyFont="1" applyBorder="1" applyAlignment="1" applyProtection="1">
      <alignment horizontal="center" vertical="center" wrapText="1"/>
      <protection hidden="1"/>
    </xf>
    <xf numFmtId="0" fontId="28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65" fontId="9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</cellXfs>
  <cellStyles count="5">
    <cellStyle name="Moneda" xfId="1" builtinId="4"/>
    <cellStyle name="Moneda [0]" xfId="2" builtinId="7"/>
    <cellStyle name="Moneda [0] 2" xfId="3" xr:uid="{72345229-145B-48B0-B68E-1CACDE97A436}"/>
    <cellStyle name="Normal" xfId="0" builtinId="0"/>
    <cellStyle name="Porcentaje" xfId="4" builtinId="5"/>
  </cellStyles>
  <dxfs count="12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rgb="FFFF000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BE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58927176087721"/>
          <c:y val="9.607775720657051E-2"/>
          <c:w val="0.47263752336301473"/>
          <c:h val="0.80784448558685895"/>
        </c:manualLayout>
      </c:layout>
      <c:radarChart>
        <c:radarStyle val="marker"/>
        <c:varyColors val="0"/>
        <c:ser>
          <c:idx val="0"/>
          <c:order val="0"/>
          <c:tx>
            <c:v>Condición inicial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6.586209928487527E-2"/>
                  <c:y val="8.97489714202527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C-44F6-A4E2-3D48DF0A543F}"/>
                </c:ext>
              </c:extLst>
            </c:dLbl>
            <c:dLbl>
              <c:idx val="3"/>
              <c:layout>
                <c:manualLayout>
                  <c:x val="-3.7421647320951858E-2"/>
                  <c:y val="6.05805557086704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C-44F6-A4E2-3D48DF0A5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(EDANA!$C$19,EDANA!$C$40,EDANA!$C$41,EDANA!$C$42,EDANA!$C$44)</c:f>
              <c:strCache>
                <c:ptCount val="5"/>
                <c:pt idx="0">
                  <c:v>Tipo de Cobertura de la tierra</c:v>
                </c:pt>
                <c:pt idx="1">
                  <c:v>Suelo</c:v>
                </c:pt>
                <c:pt idx="2">
                  <c:v>Hidrico</c:v>
                </c:pt>
                <c:pt idx="3">
                  <c:v>Fauna</c:v>
                </c:pt>
                <c:pt idx="4">
                  <c:v>Flora</c:v>
                </c:pt>
              </c:strCache>
            </c:strRef>
          </c:cat>
          <c:val>
            <c:numRef>
              <c:f>(EDANA!$I$19,EDANA!$I$40,EDANA!$I$41,EDANA!$I$42,EDANA!$I$44)</c:f>
              <c:numCache>
                <c:formatCode>0.0%</c:formatCode>
                <c:ptCount val="5"/>
                <c:pt idx="0">
                  <c:v>0.61333333333333329</c:v>
                </c:pt>
                <c:pt idx="1">
                  <c:v>0.8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D2C-9EF7-7D32F667FBF4}"/>
            </c:ext>
          </c:extLst>
        </c:ser>
        <c:ser>
          <c:idx val="1"/>
          <c:order val="1"/>
          <c:tx>
            <c:v>Condición final del recurso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(EDANA!$C$19,EDANA!$C$40,EDANA!$C$41,EDANA!$C$42,EDANA!$C$44)</c:f>
              <c:strCache>
                <c:ptCount val="5"/>
                <c:pt idx="0">
                  <c:v>Tipo de Cobertura de la tierra</c:v>
                </c:pt>
                <c:pt idx="1">
                  <c:v>Suelo</c:v>
                </c:pt>
                <c:pt idx="2">
                  <c:v>Hidrico</c:v>
                </c:pt>
                <c:pt idx="3">
                  <c:v>Fauna</c:v>
                </c:pt>
                <c:pt idx="4">
                  <c:v>Flora</c:v>
                </c:pt>
              </c:strCache>
            </c:strRef>
          </c:cat>
          <c:val>
            <c:numRef>
              <c:f>(EDANA!$L$19,EDANA!$L$40,EDANA!$L$41,EDANA!$L$42,EDANA!$L$44)</c:f>
              <c:numCache>
                <c:formatCode>0.0%</c:formatCode>
                <c:ptCount val="5"/>
                <c:pt idx="0">
                  <c:v>0.37888888888888883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D2C-9EF7-7D32F667F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626656"/>
        <c:axId val="62628576"/>
      </c:radarChart>
      <c:catAx>
        <c:axId val="6262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628576"/>
        <c:crosses val="autoZero"/>
        <c:auto val="1"/>
        <c:lblAlgn val="ctr"/>
        <c:lblOffset val="100"/>
        <c:noMultiLvlLbl val="0"/>
      </c:catAx>
      <c:valAx>
        <c:axId val="62628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626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46</xdr:row>
      <xdr:rowOff>242888</xdr:rowOff>
    </xdr:from>
    <xdr:to>
      <xdr:col>12</xdr:col>
      <xdr:colOff>66675</xdr:colOff>
      <xdr:row>66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64FFB-AD98-E087-B776-AFF0996F8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352675</xdr:colOff>
      <xdr:row>2</xdr:row>
      <xdr:rowOff>5147</xdr:rowOff>
    </xdr:from>
    <xdr:to>
      <xdr:col>3</xdr:col>
      <xdr:colOff>228600</xdr:colOff>
      <xdr:row>3</xdr:row>
      <xdr:rowOff>187098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ECFA14-4FFD-4A20-AE75-ACFB452D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125" y="481397"/>
          <a:ext cx="933200" cy="7187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ristian Camilo Novoa Gonzalez" id="{D45D3AD3-3A28-4D7E-96A5-665ACECBA3E5}" userId="S::CCNovoa@minambiente.gov.co::ea6eadaf-d3d9-42e7-a808-b039ed5df761" providerId="AD"/>
  <person displayName="Adriana Marcela Botero Pito" id="{3157366F-3BCF-4E8A-A5E8-9B778F4B59C7}" userId="S::amboterop@minambiente.gov.co::bf38e22a-dd06-4388-b1b7-e3db091b4f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1" dT="2024-08-06T21:19:39.95" personId="{D45D3AD3-3A28-4D7E-96A5-665ACECBA3E5}" id="{5F6C40DD-879A-4008-96B0-5C652299D8D6}">
    <text>mirar estudios de agua de los entes territoriales</text>
  </threadedComment>
  <threadedComment ref="E42" dT="2024-11-29T20:01:40.73" personId="{3157366F-3BCF-4E8A-A5E8-9B778F4B59C7}" id="{134751E7-85E3-4C6C-B4A6-AA16D53BF055}">
    <text>Inventarios de trabajos de grado (maestrias, doctorados) 
Distribución potencial de especies: Tremarctos -  http://www.tremarctoscolombia.org/
Diversidad de especies: https://biodiversidad.co/
Mapa de integridad de ecosistemas - Humboldt</text>
    <extLst>
      <x:ext xmlns:xltc2="http://schemas.microsoft.com/office/spreadsheetml/2020/threadedcomments2" uri="{F7C98A9C-CBB3-438F-8F68-D28B6AF4A901}">
        <xltc2:checksum>2319952365</xltc2:checksum>
        <xltc2:hyperlink startIndex="108" length="34" url="http://www.tremarctoscolombia.org/"/>
        <xltc2:hyperlink startIndex="167" length="25" url="https://biodiversidad.co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1405-AF3F-485B-9798-20D04B8B9AEE}">
  <sheetPr>
    <pageSetUpPr autoPageBreaks="0"/>
  </sheetPr>
  <dimension ref="B1:O147"/>
  <sheetViews>
    <sheetView showGridLines="0" tabSelected="1" showWhiteSpace="0" zoomScale="80" zoomScaleNormal="80" zoomScaleSheetLayoutView="110" zoomScalePageLayoutView="40" workbookViewId="0">
      <selection activeCell="J7" sqref="J7:M7"/>
    </sheetView>
  </sheetViews>
  <sheetFormatPr baseColWidth="10" defaultColWidth="11.42578125" defaultRowHeight="15" x14ac:dyDescent="0.25"/>
  <cols>
    <col min="1" max="1" width="5.7109375" style="1" customWidth="1"/>
    <col min="2" max="2" width="2.5703125" style="1" customWidth="1"/>
    <col min="3" max="3" width="15.85546875" style="1" customWidth="1"/>
    <col min="4" max="4" width="8" style="1" customWidth="1"/>
    <col min="5" max="5" width="11.28515625" style="1" customWidth="1"/>
    <col min="6" max="6" width="11" style="1" customWidth="1"/>
    <col min="7" max="7" width="13.42578125" style="1" customWidth="1"/>
    <col min="8" max="11" width="16.7109375" style="1" customWidth="1"/>
    <col min="12" max="12" width="16.140625" style="1" customWidth="1"/>
    <col min="13" max="13" width="22.7109375" style="1" customWidth="1"/>
    <col min="14" max="14" width="2.7109375" style="1" customWidth="1"/>
    <col min="15" max="16384" width="11.42578125" style="1"/>
  </cols>
  <sheetData>
    <row r="1" spans="2:14" ht="22.5" customHeight="1" x14ac:dyDescent="0.25"/>
    <row r="2" spans="2:14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42" customHeight="1" x14ac:dyDescent="0.25">
      <c r="B3" s="5"/>
      <c r="C3" s="150"/>
      <c r="D3" s="151"/>
      <c r="E3" s="156" t="s">
        <v>0</v>
      </c>
      <c r="F3" s="156"/>
      <c r="G3" s="156"/>
      <c r="H3" s="156"/>
      <c r="I3" s="156"/>
      <c r="J3" s="156"/>
      <c r="K3" s="156"/>
      <c r="L3" s="156"/>
      <c r="M3" s="156"/>
      <c r="N3" s="6"/>
    </row>
    <row r="4" spans="2:14" x14ac:dyDescent="0.25">
      <c r="B4" s="5"/>
      <c r="C4" s="152"/>
      <c r="D4" s="153"/>
      <c r="E4" s="110" t="s">
        <v>1</v>
      </c>
      <c r="F4" s="111"/>
      <c r="G4" s="111"/>
      <c r="H4" s="111"/>
      <c r="I4" s="111"/>
      <c r="J4" s="111"/>
      <c r="K4" s="111"/>
      <c r="L4" s="111"/>
      <c r="M4" s="111"/>
      <c r="N4" s="7"/>
    </row>
    <row r="5" spans="2:14" x14ac:dyDescent="0.25">
      <c r="B5" s="5"/>
      <c r="C5" s="154" t="s">
        <v>2</v>
      </c>
      <c r="D5" s="155"/>
      <c r="E5" s="112"/>
      <c r="F5" s="113"/>
      <c r="G5" s="113"/>
      <c r="H5" s="113"/>
      <c r="I5" s="113"/>
      <c r="J5" s="113"/>
      <c r="K5" s="113"/>
      <c r="L5" s="113"/>
      <c r="M5" s="114"/>
      <c r="N5" s="8"/>
    </row>
    <row r="6" spans="2:14" ht="36" customHeight="1" x14ac:dyDescent="0.25">
      <c r="B6" s="5"/>
      <c r="C6" s="157" t="s">
        <v>3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9"/>
    </row>
    <row r="7" spans="2:14" ht="38.25" customHeight="1" x14ac:dyDescent="0.25">
      <c r="B7" s="5"/>
      <c r="C7" s="158" t="s">
        <v>4</v>
      </c>
      <c r="D7" s="158"/>
      <c r="E7" s="198"/>
      <c r="F7" s="199"/>
      <c r="G7" s="199"/>
      <c r="H7" s="200"/>
      <c r="I7" s="103" t="s">
        <v>5</v>
      </c>
      <c r="J7" s="159"/>
      <c r="K7" s="159"/>
      <c r="L7" s="159"/>
      <c r="M7" s="159"/>
      <c r="N7" s="10"/>
    </row>
    <row r="8" spans="2:14" ht="30.75" customHeight="1" x14ac:dyDescent="0.25">
      <c r="B8" s="5"/>
      <c r="C8" s="193" t="s">
        <v>6</v>
      </c>
      <c r="D8" s="193"/>
      <c r="E8" s="198"/>
      <c r="F8" s="199"/>
      <c r="G8" s="199"/>
      <c r="H8" s="200"/>
      <c r="I8" s="34" t="s">
        <v>7</v>
      </c>
      <c r="J8" s="159"/>
      <c r="K8" s="159"/>
      <c r="L8" s="159"/>
      <c r="M8" s="159"/>
      <c r="N8" s="10"/>
    </row>
    <row r="9" spans="2:14" ht="26.25" customHeight="1" x14ac:dyDescent="0.25">
      <c r="B9" s="5"/>
      <c r="C9" s="193" t="s">
        <v>8</v>
      </c>
      <c r="D9" s="193"/>
      <c r="E9" s="198"/>
      <c r="F9" s="199"/>
      <c r="G9" s="199"/>
      <c r="H9" s="200"/>
      <c r="I9" s="34" t="s">
        <v>9</v>
      </c>
      <c r="J9" s="201"/>
      <c r="K9" s="202"/>
      <c r="L9" s="202"/>
      <c r="M9" s="203"/>
      <c r="N9" s="11"/>
    </row>
    <row r="10" spans="2:14" ht="29.25" customHeight="1" x14ac:dyDescent="0.25">
      <c r="B10" s="5"/>
      <c r="C10" s="193" t="s">
        <v>10</v>
      </c>
      <c r="D10" s="193"/>
      <c r="E10" s="198"/>
      <c r="F10" s="199"/>
      <c r="G10" s="199"/>
      <c r="H10" s="200"/>
      <c r="I10" s="34" t="s">
        <v>11</v>
      </c>
      <c r="J10" s="146" t="s">
        <v>12</v>
      </c>
      <c r="K10" s="147"/>
      <c r="L10" s="146" t="s">
        <v>13</v>
      </c>
      <c r="M10" s="148"/>
      <c r="N10" s="12"/>
    </row>
    <row r="11" spans="2:14" ht="25.15" customHeight="1" x14ac:dyDescent="0.25">
      <c r="B11" s="5"/>
      <c r="C11" s="193" t="s">
        <v>14</v>
      </c>
      <c r="D11" s="193"/>
      <c r="E11" s="198"/>
      <c r="F11" s="199"/>
      <c r="G11" s="199"/>
      <c r="H11" s="200"/>
      <c r="I11" s="24" t="s">
        <v>15</v>
      </c>
      <c r="J11" s="204"/>
      <c r="K11" s="205"/>
      <c r="L11" s="205"/>
      <c r="M11" s="188"/>
      <c r="N11" s="13"/>
    </row>
    <row r="12" spans="2:14" ht="26.25" customHeight="1" x14ac:dyDescent="0.25">
      <c r="B12" s="5"/>
      <c r="C12" s="193" t="s">
        <v>16</v>
      </c>
      <c r="D12" s="193"/>
      <c r="E12" s="198"/>
      <c r="F12" s="199"/>
      <c r="G12" s="199"/>
      <c r="H12" s="200"/>
      <c r="I12" s="35"/>
      <c r="J12" s="35"/>
      <c r="K12" s="35"/>
      <c r="L12" s="35"/>
      <c r="M12" s="35"/>
      <c r="N12" s="13"/>
    </row>
    <row r="13" spans="2:14" ht="20.25" customHeight="1" x14ac:dyDescent="0.25">
      <c r="B13" s="5"/>
      <c r="C13" s="193" t="s">
        <v>17</v>
      </c>
      <c r="D13" s="193"/>
      <c r="E13" s="198"/>
      <c r="F13" s="199"/>
      <c r="G13" s="199"/>
      <c r="H13" s="200"/>
      <c r="I13" s="35"/>
      <c r="J13" s="35"/>
      <c r="K13" s="35"/>
      <c r="L13" s="35"/>
      <c r="M13" s="35"/>
      <c r="N13" s="13"/>
    </row>
    <row r="14" spans="2:14" ht="24.75" customHeight="1" x14ac:dyDescent="0.25">
      <c r="B14" s="5"/>
      <c r="C14" s="3"/>
      <c r="D14" s="3"/>
      <c r="I14" s="37"/>
      <c r="J14" s="37"/>
      <c r="K14" s="37"/>
      <c r="L14" s="37"/>
      <c r="M14" s="37"/>
      <c r="N14" s="12"/>
    </row>
    <row r="15" spans="2:14" ht="24.75" customHeight="1" x14ac:dyDescent="0.25">
      <c r="B15" s="5"/>
      <c r="C15" s="115"/>
      <c r="D15" s="115"/>
      <c r="E15" s="36"/>
      <c r="F15" s="36"/>
      <c r="G15" s="36"/>
      <c r="H15" s="36"/>
      <c r="I15" s="36"/>
      <c r="J15" s="36"/>
      <c r="K15" s="36"/>
      <c r="L15" s="36"/>
      <c r="M15" s="36"/>
      <c r="N15" s="12"/>
    </row>
    <row r="16" spans="2:14" ht="17.25" customHeight="1" x14ac:dyDescent="0.25">
      <c r="B16" s="5"/>
      <c r="C16" s="195" t="s">
        <v>18</v>
      </c>
      <c r="D16" s="196"/>
      <c r="E16" s="196"/>
      <c r="F16" s="196"/>
      <c r="G16" s="196"/>
      <c r="H16" s="196"/>
      <c r="I16" s="196"/>
      <c r="J16" s="196"/>
      <c r="K16" s="196"/>
      <c r="L16" s="196"/>
      <c r="M16" s="197"/>
      <c r="N16" s="14"/>
    </row>
    <row r="17" spans="2:15" ht="17.25" customHeight="1" x14ac:dyDescent="0.25">
      <c r="B17" s="5"/>
      <c r="C17" s="195" t="s">
        <v>19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7"/>
      <c r="N17" s="14"/>
    </row>
    <row r="18" spans="2:15" ht="65.25" customHeight="1" thickBot="1" x14ac:dyDescent="0.3">
      <c r="B18" s="5"/>
      <c r="C18" s="23" t="s">
        <v>20</v>
      </c>
      <c r="D18" s="23" t="s">
        <v>21</v>
      </c>
      <c r="E18" s="23" t="s">
        <v>22</v>
      </c>
      <c r="F18" s="23" t="s">
        <v>23</v>
      </c>
      <c r="G18" s="23" t="s">
        <v>24</v>
      </c>
      <c r="H18" s="26" t="s">
        <v>25</v>
      </c>
      <c r="I18" s="26" t="s">
        <v>26</v>
      </c>
      <c r="J18" s="23" t="s">
        <v>289</v>
      </c>
      <c r="K18" s="26" t="s">
        <v>28</v>
      </c>
      <c r="L18" s="26" t="s">
        <v>29</v>
      </c>
      <c r="M18" s="23" t="s">
        <v>30</v>
      </c>
      <c r="N18" s="9"/>
      <c r="O18" s="15"/>
    </row>
    <row r="19" spans="2:15" ht="22.5" customHeight="1" thickBot="1" x14ac:dyDescent="0.3">
      <c r="B19" s="5"/>
      <c r="C19" s="183" t="s">
        <v>31</v>
      </c>
      <c r="D19" s="178">
        <v>0.2</v>
      </c>
      <c r="E19" s="144" t="s">
        <v>124</v>
      </c>
      <c r="F19" s="22">
        <f>INDEX('Variables - Valoración'!$D$6:$D$49,MATCH(EDANA!E19,'Variables - Valoración'!$C$6:$C$49,0))</f>
        <v>3</v>
      </c>
      <c r="G19" s="88">
        <v>0.8</v>
      </c>
      <c r="H19" s="105" t="str">
        <f>IF(ISBLANK(G19),"Dar porcentaje de línea base",IF(G19&lt;=20%,"Crítico",IF(AND(G19&gt;20%,G19&lt;=40%),"Malo",IF(AND(G19&gt;40%,G19&lt;=60%),"Aceptable",IF(AND(G19&gt;60%,G19&lt;=80%),"Bueno","Óptimo")))))</f>
        <v>Bueno</v>
      </c>
      <c r="I19" s="189">
        <f>AVERAGE(G19:G35)</f>
        <v>0.61333333333333329</v>
      </c>
      <c r="J19" s="88">
        <v>0.01</v>
      </c>
      <c r="K19" s="145" t="str">
        <f>IF(ISBLANK(J19),"Dar porcentaje condición pos-evento",IF(J19&lt;=20%,"Crítico",IF(AND(J19&gt;20%,J19&lt;=40%),"Malo",IF(AND(J19&gt;40%,J19&lt;=60%),"Aceptable",IF(AND(J19&gt;60%,J19&lt;=80%),"Bueno","Óptimo")))))</f>
        <v>Crítico</v>
      </c>
      <c r="L19" s="191">
        <f>AVERAGE(J19:J35)</f>
        <v>0.37888888888888883</v>
      </c>
      <c r="M19" s="225" t="str">
        <f>IF((G19-J19)=0,"Sin afectación (0)",IF(AND((G19-J19)&lt;=25%,(G19-J19)&gt;0),"Muy Baja Afectación (1)",IF(AND((G19-J19)&lt;50%,(G19-J19)&gt;=26%),"Baja Afectación (2)",IF(AND((G19-J19)&lt;75%,(G19-J19)&gt;=50%),"Media Afectación (3)","Alta Afectación (4)"))))</f>
        <v>Alta Afectación (4)</v>
      </c>
      <c r="N19" s="17"/>
    </row>
    <row r="20" spans="2:15" ht="21.75" customHeight="1" thickBot="1" x14ac:dyDescent="0.3">
      <c r="B20" s="5"/>
      <c r="C20" s="194"/>
      <c r="D20" s="179"/>
      <c r="E20" s="144" t="s">
        <v>42</v>
      </c>
      <c r="F20" s="22">
        <f>INDEX('Variables - Valoración'!$D$6:$D$49,MATCH(EDANA!E20,'Variables - Valoración'!$C$6:$C$49,0))</f>
        <v>3</v>
      </c>
      <c r="G20" s="88">
        <v>0.1</v>
      </c>
      <c r="H20" s="105" t="str">
        <f t="shared" ref="H20:H35" si="0">IF(ISBLANK(G20),"Dar porcentaje de línea base",IF(G20&lt;=20%,"Crítico",IF(AND(G20&gt;20%,G20&lt;=40%),"Malo",IF(AND(G20&gt;40%,G20&lt;=60%),"Aceptable",IF(AND(G20&gt;60%,G20&lt;=80%),"Bueno","Óptimo")))))</f>
        <v>Crítico</v>
      </c>
      <c r="I20" s="190"/>
      <c r="J20" s="88">
        <v>0.4</v>
      </c>
      <c r="K20" s="145" t="str">
        <f t="shared" ref="K20:K35" si="1">IF(ISBLANK(J20),"Dar porcentaje condición pos-evento",IF(J20&lt;=20%,"Crítico",IF(AND(J20&gt;20%,J20&lt;=40%),"Malo",IF(AND(J20&gt;40%,J20&lt;=60%),"Aceptable",IF(AND(J20&gt;60%,J20&lt;=80%),"Bueno","Óptimo")))))</f>
        <v>Malo</v>
      </c>
      <c r="L20" s="192"/>
      <c r="M20" s="225" t="str">
        <f t="shared" ref="M20:M32" si="2">IF((G20-J20)=0,"Sin afectación (0)",IF(AND((G20-J20)&lt;=25%,(G20-J20)&gt;0),"Muy Baja Afectación (1)",IF(AND((G20-J20)&lt;50%,(G20-J20)&gt;=26%),"Baja Afectación (2)",IF(AND((G20-J20)&lt;75%,(G20-J20)&gt;=50%),"Media Afectación (3)","Alta Afectación (4)"))))</f>
        <v>Alta Afectación (4)</v>
      </c>
      <c r="N20" s="17"/>
    </row>
    <row r="21" spans="2:15" ht="33.75" customHeight="1" thickBot="1" x14ac:dyDescent="0.3">
      <c r="B21" s="5"/>
      <c r="C21" s="194"/>
      <c r="D21" s="179"/>
      <c r="E21" s="144" t="s">
        <v>36</v>
      </c>
      <c r="F21" s="22">
        <f>INDEX('Variables - Valoración'!$D$6:$D$49,MATCH(EDANA!E21,'Variables - Valoración'!$C$6:$C$49,0))</f>
        <v>1</v>
      </c>
      <c r="G21" s="88">
        <v>0.21</v>
      </c>
      <c r="H21" s="105" t="str">
        <f t="shared" si="0"/>
        <v>Malo</v>
      </c>
      <c r="I21" s="190"/>
      <c r="J21" s="88">
        <v>0.4</v>
      </c>
      <c r="K21" s="145" t="str">
        <f t="shared" si="1"/>
        <v>Malo</v>
      </c>
      <c r="L21" s="192"/>
      <c r="M21" s="225" t="str">
        <f t="shared" si="2"/>
        <v>Alta Afectación (4)</v>
      </c>
      <c r="N21" s="17"/>
    </row>
    <row r="22" spans="2:15" ht="21.75" customHeight="1" thickBot="1" x14ac:dyDescent="0.3">
      <c r="B22" s="5"/>
      <c r="C22" s="194"/>
      <c r="D22" s="179"/>
      <c r="E22" s="144" t="s">
        <v>35</v>
      </c>
      <c r="F22" s="22">
        <f>INDEX('Variables - Valoración'!$D$6:$D$49,MATCH(EDANA!E22,'Variables - Valoración'!$C$6:$C$49,0))</f>
        <v>1</v>
      </c>
      <c r="G22" s="88">
        <v>0.8</v>
      </c>
      <c r="H22" s="105" t="str">
        <f t="shared" si="0"/>
        <v>Bueno</v>
      </c>
      <c r="I22" s="190"/>
      <c r="J22" s="88">
        <v>0.1</v>
      </c>
      <c r="K22" s="145" t="str">
        <f t="shared" si="1"/>
        <v>Crítico</v>
      </c>
      <c r="L22" s="192"/>
      <c r="M22" s="225" t="str">
        <f t="shared" si="2"/>
        <v>Media Afectación (3)</v>
      </c>
      <c r="N22" s="17"/>
    </row>
    <row r="23" spans="2:15" ht="21.75" customHeight="1" thickBot="1" x14ac:dyDescent="0.3">
      <c r="B23" s="5"/>
      <c r="C23" s="194"/>
      <c r="D23" s="179"/>
      <c r="E23" s="144" t="s">
        <v>41</v>
      </c>
      <c r="F23" s="22">
        <f>INDEX('Variables - Valoración'!$D$6:$D$49,MATCH(EDANA!E23,'Variables - Valoración'!$C$6:$C$49,0))</f>
        <v>2</v>
      </c>
      <c r="G23" s="88">
        <v>0.8</v>
      </c>
      <c r="H23" s="105" t="str">
        <f t="shared" si="0"/>
        <v>Bueno</v>
      </c>
      <c r="I23" s="190"/>
      <c r="J23" s="88">
        <v>0.3</v>
      </c>
      <c r="K23" s="145" t="str">
        <f t="shared" si="1"/>
        <v>Malo</v>
      </c>
      <c r="L23" s="192"/>
      <c r="M23" s="225" t="str">
        <f t="shared" si="2"/>
        <v>Media Afectación (3)</v>
      </c>
      <c r="N23" s="17"/>
    </row>
    <row r="24" spans="2:15" ht="21.75" customHeight="1" thickBot="1" x14ac:dyDescent="0.3">
      <c r="B24" s="5"/>
      <c r="C24" s="194"/>
      <c r="D24" s="179"/>
      <c r="E24" s="144" t="s">
        <v>45</v>
      </c>
      <c r="F24" s="22">
        <f>INDEX('Variables - Valoración'!$D$6:$D$49,MATCH(EDANA!E24,'Variables - Valoración'!$C$6:$C$49,0))</f>
        <v>1</v>
      </c>
      <c r="G24" s="88">
        <v>0.8</v>
      </c>
      <c r="H24" s="105" t="str">
        <f t="shared" si="0"/>
        <v>Bueno</v>
      </c>
      <c r="I24" s="190"/>
      <c r="J24" s="88">
        <v>0.8</v>
      </c>
      <c r="K24" s="145" t="str">
        <f t="shared" si="1"/>
        <v>Bueno</v>
      </c>
      <c r="L24" s="192"/>
      <c r="M24" s="225" t="str">
        <f t="shared" si="2"/>
        <v>Sin afectación (0)</v>
      </c>
      <c r="N24" s="17"/>
    </row>
    <row r="25" spans="2:15" ht="21.75" customHeight="1" thickBot="1" x14ac:dyDescent="0.3">
      <c r="B25" s="5"/>
      <c r="C25" s="194"/>
      <c r="D25" s="179"/>
      <c r="E25" s="144" t="s">
        <v>43</v>
      </c>
      <c r="F25" s="22">
        <f>INDEX('Variables - Valoración'!$D$6:$D$49,MATCH(EDANA!E25,'Variables - Valoración'!$C$6:$C$49,0))</f>
        <v>2</v>
      </c>
      <c r="G25" s="88">
        <v>0.41</v>
      </c>
      <c r="H25" s="105" t="str">
        <f t="shared" si="0"/>
        <v>Aceptable</v>
      </c>
      <c r="I25" s="190"/>
      <c r="J25" s="88">
        <v>0.4</v>
      </c>
      <c r="K25" s="145" t="str">
        <f t="shared" si="1"/>
        <v>Malo</v>
      </c>
      <c r="L25" s="192"/>
      <c r="M25" s="225" t="str">
        <f t="shared" si="2"/>
        <v>Muy Baja Afectación (1)</v>
      </c>
      <c r="N25" s="17"/>
    </row>
    <row r="26" spans="2:15" ht="22.5" customHeight="1" thickBot="1" x14ac:dyDescent="0.3">
      <c r="B26" s="5"/>
      <c r="C26" s="194"/>
      <c r="D26" s="179"/>
      <c r="E26" s="144" t="s">
        <v>43</v>
      </c>
      <c r="F26" s="22">
        <f>INDEX('Variables - Valoración'!$D$6:$D$49,MATCH(EDANA!E26,'Variables - Valoración'!$C$6:$C$49,0))</f>
        <v>2</v>
      </c>
      <c r="G26" s="88">
        <v>0.8</v>
      </c>
      <c r="H26" s="105" t="str">
        <f t="shared" si="0"/>
        <v>Bueno</v>
      </c>
      <c r="I26" s="190"/>
      <c r="J26" s="88">
        <v>0.5</v>
      </c>
      <c r="K26" s="145" t="str">
        <f t="shared" si="1"/>
        <v>Aceptable</v>
      </c>
      <c r="L26" s="192"/>
      <c r="M26" s="225" t="str">
        <f t="shared" si="2"/>
        <v>Baja Afectación (2)</v>
      </c>
      <c r="N26" s="17"/>
    </row>
    <row r="27" spans="2:15" ht="27" customHeight="1" thickBot="1" x14ac:dyDescent="0.3">
      <c r="B27" s="84"/>
      <c r="C27" s="194"/>
      <c r="D27" s="179"/>
      <c r="E27" s="144" t="s">
        <v>43</v>
      </c>
      <c r="F27" s="41">
        <f>INDEX('Variables - Valoración'!$D$6:$D$49,MATCH(EDANA!E27,'Variables - Valoración'!$C$6:$C$49,0))</f>
        <v>2</v>
      </c>
      <c r="G27" s="88">
        <v>0.8</v>
      </c>
      <c r="H27" s="105" t="str">
        <f t="shared" si="0"/>
        <v>Bueno</v>
      </c>
      <c r="I27" s="190"/>
      <c r="J27" s="42">
        <v>0.5</v>
      </c>
      <c r="K27" s="145" t="str">
        <f t="shared" si="1"/>
        <v>Aceptable</v>
      </c>
      <c r="L27" s="192"/>
      <c r="M27" s="225" t="str">
        <f t="shared" si="2"/>
        <v>Baja Afectación (2)</v>
      </c>
      <c r="N27" s="17"/>
    </row>
    <row r="28" spans="2:15" ht="27" customHeight="1" thickBot="1" x14ac:dyDescent="0.3">
      <c r="B28" s="84"/>
      <c r="C28" s="194"/>
      <c r="D28" s="179"/>
      <c r="E28" s="144" t="s">
        <v>43</v>
      </c>
      <c r="F28" s="41">
        <f>INDEX('Variables - Valoración'!$D$6:$D$49,MATCH(EDANA!E28,'Variables - Valoración'!$C$6:$C$49,0))</f>
        <v>2</v>
      </c>
      <c r="G28" s="88"/>
      <c r="H28" s="105" t="str">
        <f t="shared" si="0"/>
        <v>Dar porcentaje de línea base</v>
      </c>
      <c r="I28" s="190"/>
      <c r="J28" s="42"/>
      <c r="K28" s="145" t="str">
        <f t="shared" si="1"/>
        <v>Dar porcentaje condición pos-evento</v>
      </c>
      <c r="L28" s="192"/>
      <c r="M28" s="225" t="str">
        <f>IF((G28-J28)=0,"Sin afectación (0)",IF(AND((G28-J28)&lt;=25%,(G28-J28)&gt;0),"Muy Baja Afectación (1)",IF(AND((G28-J28)&lt;50%,(G28-J28)&gt;=26%),"Baja Afectación (2)",IF(AND((G28-J28)&lt;75%,(G28-J28)&gt;=50%),"Media Afectación (3)","Alta Afectación (4)"))))</f>
        <v>Sin afectación (0)</v>
      </c>
      <c r="N28" s="17"/>
    </row>
    <row r="29" spans="2:15" ht="27" customHeight="1" thickBot="1" x14ac:dyDescent="0.3">
      <c r="B29" s="84"/>
      <c r="C29" s="194"/>
      <c r="D29" s="179"/>
      <c r="E29" s="144" t="s">
        <v>43</v>
      </c>
      <c r="F29" s="41">
        <f>INDEX('Variables - Valoración'!$D$6:$D$49,MATCH(EDANA!E29,'Variables - Valoración'!$C$6:$C$49,0))</f>
        <v>2</v>
      </c>
      <c r="G29" s="88"/>
      <c r="H29" s="105" t="str">
        <f t="shared" si="0"/>
        <v>Dar porcentaje de línea base</v>
      </c>
      <c r="I29" s="190"/>
      <c r="J29" s="42"/>
      <c r="K29" s="145" t="str">
        <f t="shared" si="1"/>
        <v>Dar porcentaje condición pos-evento</v>
      </c>
      <c r="L29" s="192"/>
      <c r="M29" s="225" t="str">
        <f t="shared" si="2"/>
        <v>Sin afectación (0)</v>
      </c>
      <c r="N29" s="17"/>
    </row>
    <row r="30" spans="2:15" ht="27" customHeight="1" thickBot="1" x14ac:dyDescent="0.3">
      <c r="B30" s="84"/>
      <c r="C30" s="194"/>
      <c r="D30" s="179"/>
      <c r="E30" s="144" t="s">
        <v>43</v>
      </c>
      <c r="F30" s="41">
        <f>INDEX('Variables - Valoración'!$D$6:$D$49,MATCH(EDANA!E30,'Variables - Valoración'!$C$6:$C$49,0))</f>
        <v>2</v>
      </c>
      <c r="G30" s="88"/>
      <c r="H30" s="105" t="str">
        <f t="shared" si="0"/>
        <v>Dar porcentaje de línea base</v>
      </c>
      <c r="I30" s="190"/>
      <c r="J30" s="42"/>
      <c r="K30" s="145" t="str">
        <f t="shared" si="1"/>
        <v>Dar porcentaje condición pos-evento</v>
      </c>
      <c r="L30" s="192"/>
      <c r="M30" s="225" t="str">
        <f t="shared" si="2"/>
        <v>Sin afectación (0)</v>
      </c>
      <c r="N30" s="17"/>
    </row>
    <row r="31" spans="2:15" ht="27" customHeight="1" thickBot="1" x14ac:dyDescent="0.3">
      <c r="B31" s="84"/>
      <c r="C31" s="194"/>
      <c r="D31" s="179"/>
      <c r="E31" s="144" t="s">
        <v>43</v>
      </c>
      <c r="F31" s="41">
        <f>INDEX('Variables - Valoración'!$D$6:$D$49,MATCH(EDANA!E31,'Variables - Valoración'!$C$6:$C$49,0))</f>
        <v>2</v>
      </c>
      <c r="G31" s="88"/>
      <c r="H31" s="105" t="str">
        <f t="shared" si="0"/>
        <v>Dar porcentaje de línea base</v>
      </c>
      <c r="I31" s="190"/>
      <c r="J31" s="42"/>
      <c r="K31" s="145" t="str">
        <f t="shared" si="1"/>
        <v>Dar porcentaje condición pos-evento</v>
      </c>
      <c r="L31" s="192"/>
      <c r="M31" s="225" t="str">
        <f t="shared" si="2"/>
        <v>Sin afectación (0)</v>
      </c>
      <c r="N31" s="17"/>
    </row>
    <row r="32" spans="2:15" ht="27" customHeight="1" thickBot="1" x14ac:dyDescent="0.3">
      <c r="B32" s="84"/>
      <c r="C32" s="194"/>
      <c r="D32" s="179"/>
      <c r="E32" s="144" t="s">
        <v>43</v>
      </c>
      <c r="F32" s="41">
        <f>INDEX('Variables - Valoración'!$D$6:$D$49,MATCH(EDANA!E32,'Variables - Valoración'!$C$6:$C$49,0))</f>
        <v>2</v>
      </c>
      <c r="G32" s="88"/>
      <c r="H32" s="105" t="str">
        <f t="shared" si="0"/>
        <v>Dar porcentaje de línea base</v>
      </c>
      <c r="I32" s="190"/>
      <c r="J32" s="42"/>
      <c r="K32" s="145" t="str">
        <f t="shared" si="1"/>
        <v>Dar porcentaje condición pos-evento</v>
      </c>
      <c r="L32" s="192"/>
      <c r="M32" s="225" t="str">
        <f t="shared" si="2"/>
        <v>Sin afectación (0)</v>
      </c>
      <c r="N32" s="17"/>
    </row>
    <row r="33" spans="2:14" ht="27" customHeight="1" thickBot="1" x14ac:dyDescent="0.3">
      <c r="B33" s="84"/>
      <c r="C33" s="194"/>
      <c r="D33" s="179"/>
      <c r="E33" s="144" t="s">
        <v>43</v>
      </c>
      <c r="F33" s="41">
        <f>INDEX('Variables - Valoración'!$D$6:$D$49,MATCH(EDANA!E33,'Variables - Valoración'!$C$6:$C$49,0))</f>
        <v>2</v>
      </c>
      <c r="G33" s="88"/>
      <c r="H33" s="105" t="str">
        <f t="shared" si="0"/>
        <v>Dar porcentaje de línea base</v>
      </c>
      <c r="I33" s="190"/>
      <c r="J33" s="42"/>
      <c r="K33" s="145" t="str">
        <f t="shared" si="1"/>
        <v>Dar porcentaje condición pos-evento</v>
      </c>
      <c r="L33" s="192"/>
      <c r="M33" s="225" t="str">
        <f>IF((G33-J33)=0,"Sin afectación (0)",IF(AND((G33-J33)&lt;=25%,(G33-J33)&gt;0),"Muy Baja Afectación (1)",IF(AND((G33-J33)&lt;50%,(G33-J33)&gt;=26%),"Baja Afectación (2)",IF(AND((G33-J33)&lt;75%,(G33-J33)&gt;=50%),"Media Afectación (3)","Alta Afectación (4)"))))</f>
        <v>Sin afectación (0)</v>
      </c>
      <c r="N33" s="17"/>
    </row>
    <row r="34" spans="2:14" ht="27" customHeight="1" thickBot="1" x14ac:dyDescent="0.3">
      <c r="B34" s="84"/>
      <c r="C34" s="194"/>
      <c r="D34" s="179"/>
      <c r="E34" s="144" t="s">
        <v>43</v>
      </c>
      <c r="F34" s="41">
        <f>INDEX('Variables - Valoración'!$D$6:$D$49,MATCH(EDANA!E34,'Variables - Valoración'!$C$6:$C$49,0))</f>
        <v>2</v>
      </c>
      <c r="G34" s="88"/>
      <c r="H34" s="105" t="str">
        <f t="shared" ref="H34" si="3">IF(ISBLANK(G34),"Dar porcentaje de línea base",IF(G34&lt;=20%,"Crítico",IF(AND(G34&gt;20%,G34&lt;=40%),"Malo",IF(AND(G34&gt;40%,G34&lt;=60%),"Aceptable",IF(AND(G34&gt;60%,G34&lt;=80%),"Bueno","Óptimo")))))</f>
        <v>Dar porcentaje de línea base</v>
      </c>
      <c r="I34" s="190"/>
      <c r="J34" s="42"/>
      <c r="K34" s="145" t="str">
        <f t="shared" si="1"/>
        <v>Dar porcentaje condición pos-evento</v>
      </c>
      <c r="L34" s="192"/>
      <c r="M34" s="225" t="str">
        <f>IF((G34-J34)=0,"Sin afectación (0)",IF(AND((G34-J34)&lt;=25%,(G34-J34)&gt;0),"Muy Baja Afectación (1)",IF(AND((G34-J34)&lt;50%,(G34-J34)&gt;=26%),"Baja Afectación (2)",IF(AND((G34-J34)&lt;75%,(G34-J34)&gt;=50%),"Media Afectación (3)","Alta Afectación (4)"))))</f>
        <v>Sin afectación (0)</v>
      </c>
      <c r="N34" s="17"/>
    </row>
    <row r="35" spans="2:14" ht="27" customHeight="1" thickBot="1" x14ac:dyDescent="0.3">
      <c r="B35" s="84"/>
      <c r="C35" s="194"/>
      <c r="D35" s="179"/>
      <c r="E35" s="144" t="s">
        <v>43</v>
      </c>
      <c r="F35" s="41">
        <f>INDEX('Variables - Valoración'!$D$6:$D$49,MATCH(EDANA!E35,'Variables - Valoración'!$C$6:$C$49,0))</f>
        <v>2</v>
      </c>
      <c r="G35" s="88"/>
      <c r="H35" s="105" t="str">
        <f t="shared" si="0"/>
        <v>Dar porcentaje de línea base</v>
      </c>
      <c r="I35" s="190"/>
      <c r="J35" s="42"/>
      <c r="K35" s="145" t="str">
        <f t="shared" si="1"/>
        <v>Dar porcentaje condición pos-evento</v>
      </c>
      <c r="L35" s="192"/>
      <c r="M35" s="225" t="str">
        <f>IF((G35-J35)=0,"Sin afectación (0)",IF(AND((G35-J35)&lt;=25%,(G35-J35)&gt;0),"Muy Baja Afectación (1)",IF(AND((G35-J35)&lt;50%,(G35-J35)&gt;=26%),"Baja Afectación (2)",IF(AND((G35-J35)&lt;75%,(G35-J35)&gt;=50%),"Media Afectación (3)","Alta Afectación (4)"))))</f>
        <v>Sin afectación (0)</v>
      </c>
      <c r="N35" s="17"/>
    </row>
    <row r="36" spans="2:14" ht="27" customHeight="1" x14ac:dyDescent="0.25">
      <c r="B36" s="5"/>
      <c r="C36" s="125"/>
      <c r="D36" s="126"/>
      <c r="E36" s="40"/>
      <c r="F36" s="127"/>
      <c r="G36" s="42"/>
      <c r="H36" s="128"/>
      <c r="I36" s="129"/>
      <c r="J36" s="42"/>
      <c r="K36" s="42"/>
      <c r="L36" s="128"/>
      <c r="M36" s="130"/>
      <c r="N36" s="17"/>
    </row>
    <row r="37" spans="2:14" ht="27" customHeight="1" x14ac:dyDescent="0.25">
      <c r="B37" s="5"/>
      <c r="C37" s="119"/>
      <c r="D37" s="120"/>
      <c r="E37" s="117"/>
      <c r="F37" s="121"/>
      <c r="G37" s="118"/>
      <c r="H37" s="122"/>
      <c r="I37" s="123"/>
      <c r="J37" s="118"/>
      <c r="K37" s="118"/>
      <c r="L37" s="122"/>
      <c r="M37" s="124"/>
      <c r="N37" s="17"/>
    </row>
    <row r="38" spans="2:14" ht="27" customHeight="1" x14ac:dyDescent="0.25">
      <c r="B38" s="84"/>
      <c r="C38" s="195" t="s">
        <v>47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7"/>
      <c r="N38" s="132"/>
    </row>
    <row r="39" spans="2:14" ht="34.5" customHeight="1" thickBot="1" x14ac:dyDescent="0.3">
      <c r="B39" s="84"/>
      <c r="C39" s="23" t="s">
        <v>20</v>
      </c>
      <c r="D39" s="23" t="s">
        <v>21</v>
      </c>
      <c r="E39" s="23" t="s">
        <v>48</v>
      </c>
      <c r="F39" s="23" t="s">
        <v>49</v>
      </c>
      <c r="G39" s="23" t="s">
        <v>24</v>
      </c>
      <c r="H39" s="26" t="s">
        <v>25</v>
      </c>
      <c r="I39" s="26" t="s">
        <v>26</v>
      </c>
      <c r="J39" s="23" t="s">
        <v>27</v>
      </c>
      <c r="K39" s="26" t="s">
        <v>28</v>
      </c>
      <c r="L39" s="26" t="s">
        <v>29</v>
      </c>
      <c r="M39" s="23" t="s">
        <v>30</v>
      </c>
      <c r="N39" s="17"/>
    </row>
    <row r="40" spans="2:14" ht="48.75" customHeight="1" thickBot="1" x14ac:dyDescent="0.3">
      <c r="B40" s="84"/>
      <c r="C40" s="143" t="s">
        <v>50</v>
      </c>
      <c r="D40" s="90">
        <v>0.2</v>
      </c>
      <c r="E40" s="87" t="s">
        <v>51</v>
      </c>
      <c r="F40" s="87" t="s">
        <v>52</v>
      </c>
      <c r="G40" s="96">
        <v>0.8</v>
      </c>
      <c r="H40" s="105" t="str">
        <f t="shared" ref="H40:H44" si="4">IF(ISBLANK(G40),"Dar porcentaje de línea base",IF(G40&lt;=20%,"Crítico",IF(AND(G40&gt;20%,G40&lt;=40%),"Malo",IF(AND(G40&gt;40%,G40&lt;=60%),"Aceptable",IF(AND(G40&gt;60%,G40&lt;=80%),"Bueno","Óptimo")))))</f>
        <v>Bueno</v>
      </c>
      <c r="I40" s="142">
        <f>AVERAGE(G40:G40)</f>
        <v>0.8</v>
      </c>
      <c r="J40" s="25">
        <v>0.3</v>
      </c>
      <c r="K40" s="145" t="str">
        <f t="shared" ref="K40:K44" si="5">IF(ISBLANK(J40),"Dar porcentaje condición pos-evento",IF(J40&lt;=20%,"Crítico",IF(AND(J40&gt;20%,J40&lt;=40%),"Malo",IF(AND(J40&gt;40%,J40&lt;=60%),"Aceptable",IF(AND(J40&gt;60%,J40&lt;=80%),"Bueno","Óptimo")))))</f>
        <v>Malo</v>
      </c>
      <c r="L40" s="141">
        <f>AVERAGE(J40:J40)</f>
        <v>0.3</v>
      </c>
      <c r="M40" s="225" t="str">
        <f>IF((G40-J40)=0,"Sin afectación (0)",IF(AND((G40-J40)&lt;=25%,(G40-J40)&gt;0),"Muy Baja Afectación (1)",IF(AND((G40-J40)&lt;50%,(G40-J40)&gt;=26%),"Baja Afectación (2)",IF(AND((G40-J40)&lt;75%,(G40-J40)&gt;=50%),"Media Afectación (3)","Alta Afectación (4)"))))</f>
        <v>Media Afectación (3)</v>
      </c>
      <c r="N40" s="17"/>
    </row>
    <row r="41" spans="2:14" ht="46.5" customHeight="1" thickBot="1" x14ac:dyDescent="0.3">
      <c r="B41" s="84"/>
      <c r="C41" s="86" t="s">
        <v>53</v>
      </c>
      <c r="D41" s="90">
        <v>0.2</v>
      </c>
      <c r="E41" s="41" t="s">
        <v>54</v>
      </c>
      <c r="F41" s="87" t="s">
        <v>55</v>
      </c>
      <c r="G41" s="96">
        <v>0.8</v>
      </c>
      <c r="H41" s="105" t="str">
        <f t="shared" si="4"/>
        <v>Bueno</v>
      </c>
      <c r="I41" s="94">
        <f>AVERAGE(G41:G41)</f>
        <v>0.8</v>
      </c>
      <c r="J41" s="88">
        <v>0.4</v>
      </c>
      <c r="K41" s="145" t="str">
        <f t="shared" si="5"/>
        <v>Malo</v>
      </c>
      <c r="L41" s="141">
        <f>J41</f>
        <v>0.4</v>
      </c>
      <c r="M41" s="225" t="str">
        <f t="shared" ref="M41:M44" si="6">IF((G41-J41)=0,"Sin afectación (0)",IF(AND((G41-J41)&lt;=25%,(G41-J41)&gt;0),"Muy Baja Afectación (1)",IF(AND((G41-J41)&lt;50%,(G41-J41)&gt;=26%),"Baja Afectación (2)",IF(AND((G41-J41)&lt;75%,(G41-J41)&gt;=50%),"Media Afectación (3)","Alta Afectación (4)"))))</f>
        <v>Baja Afectación (2)</v>
      </c>
      <c r="N41" s="17"/>
    </row>
    <row r="42" spans="2:14" ht="43.5" customHeight="1" thickBot="1" x14ac:dyDescent="0.3">
      <c r="B42" s="84"/>
      <c r="C42" s="183" t="s">
        <v>56</v>
      </c>
      <c r="D42" s="178">
        <v>0.2</v>
      </c>
      <c r="E42" s="160" t="s">
        <v>57</v>
      </c>
      <c r="F42" s="42" t="s">
        <v>58</v>
      </c>
      <c r="G42" s="96">
        <v>0.6</v>
      </c>
      <c r="H42" s="105" t="str">
        <f t="shared" si="4"/>
        <v>Aceptable</v>
      </c>
      <c r="I42" s="180">
        <f>AVERAGE(G42:G43)</f>
        <v>0.6</v>
      </c>
      <c r="J42" s="88">
        <v>0.5</v>
      </c>
      <c r="K42" s="145" t="str">
        <f t="shared" si="5"/>
        <v>Aceptable</v>
      </c>
      <c r="L42" s="182">
        <f>AVERAGE(J42:J43)</f>
        <v>0.5</v>
      </c>
      <c r="M42" s="225" t="str">
        <f t="shared" si="6"/>
        <v>Muy Baja Afectación (1)</v>
      </c>
      <c r="N42" s="17"/>
    </row>
    <row r="43" spans="2:14" ht="89.25" customHeight="1" thickBot="1" x14ac:dyDescent="0.3">
      <c r="B43" s="84"/>
      <c r="C43" s="184"/>
      <c r="D43" s="179"/>
      <c r="E43" s="161"/>
      <c r="F43" s="42" t="s">
        <v>59</v>
      </c>
      <c r="G43" s="96">
        <v>0.6</v>
      </c>
      <c r="H43" s="105" t="str">
        <f t="shared" si="4"/>
        <v>Aceptable</v>
      </c>
      <c r="I43" s="181"/>
      <c r="J43" s="92">
        <v>0.5</v>
      </c>
      <c r="K43" s="145" t="str">
        <f t="shared" si="5"/>
        <v>Aceptable</v>
      </c>
      <c r="L43" s="182"/>
      <c r="M43" s="225" t="str">
        <f t="shared" si="6"/>
        <v>Muy Baja Afectación (1)</v>
      </c>
      <c r="N43" s="17"/>
    </row>
    <row r="44" spans="2:14" ht="37.5" customHeight="1" thickBot="1" x14ac:dyDescent="0.3">
      <c r="B44" s="84"/>
      <c r="C44" s="131" t="s">
        <v>60</v>
      </c>
      <c r="D44" s="89">
        <v>0.2</v>
      </c>
      <c r="E44" s="88" t="s">
        <v>57</v>
      </c>
      <c r="F44" s="88" t="s">
        <v>61</v>
      </c>
      <c r="G44" s="95">
        <v>0.8</v>
      </c>
      <c r="H44" s="105" t="str">
        <f t="shared" si="4"/>
        <v>Bueno</v>
      </c>
      <c r="I44" s="93">
        <f>AVERAGE(G44:G44)</f>
        <v>0.8</v>
      </c>
      <c r="J44" s="88">
        <v>0.2</v>
      </c>
      <c r="K44" s="145" t="str">
        <f t="shared" si="5"/>
        <v>Crítico</v>
      </c>
      <c r="L44" s="141">
        <f>AVERAGE(J44:J44)</f>
        <v>0.2</v>
      </c>
      <c r="M44" s="225" t="str">
        <f t="shared" si="6"/>
        <v>Media Afectación (3)</v>
      </c>
      <c r="N44" s="99"/>
    </row>
    <row r="45" spans="2:14" ht="53.25" customHeight="1" x14ac:dyDescent="0.25">
      <c r="B45" s="5"/>
      <c r="H45" s="97"/>
      <c r="N45" s="99"/>
    </row>
    <row r="46" spans="2:14" ht="27" customHeight="1" x14ac:dyDescent="0.25">
      <c r="B46" s="84"/>
      <c r="C46" s="165" t="s">
        <v>62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99"/>
    </row>
    <row r="47" spans="2:14" ht="53.25" customHeight="1" x14ac:dyDescent="0.25">
      <c r="B47" s="5"/>
      <c r="C47" s="2"/>
      <c r="D47" s="3"/>
      <c r="E47" s="3"/>
      <c r="F47" s="3"/>
      <c r="G47" s="3"/>
      <c r="H47" s="3"/>
      <c r="I47" s="3"/>
      <c r="J47" s="3"/>
      <c r="K47" s="3"/>
      <c r="L47" s="3"/>
      <c r="M47" s="4"/>
      <c r="N47" s="99"/>
    </row>
    <row r="48" spans="2:14" ht="53.25" customHeight="1" x14ac:dyDescent="0.25">
      <c r="B48" s="5"/>
      <c r="C48" s="5"/>
      <c r="M48" s="99"/>
      <c r="N48" s="99"/>
    </row>
    <row r="49" spans="2:14" ht="72" customHeight="1" x14ac:dyDescent="0.25">
      <c r="B49" s="5"/>
      <c r="C49" s="5"/>
      <c r="M49" s="99"/>
      <c r="N49" s="99"/>
    </row>
    <row r="50" spans="2:14" ht="24.75" customHeight="1" x14ac:dyDescent="0.25">
      <c r="B50" s="5"/>
      <c r="C50" s="5"/>
      <c r="M50" s="99"/>
      <c r="N50" s="99"/>
    </row>
    <row r="51" spans="2:14" ht="35.25" customHeight="1" x14ac:dyDescent="0.25">
      <c r="B51" s="5"/>
      <c r="C51" s="5"/>
      <c r="M51" s="99"/>
      <c r="N51" s="99"/>
    </row>
    <row r="52" spans="2:14" ht="31.5" customHeight="1" x14ac:dyDescent="0.25">
      <c r="B52" s="5"/>
      <c r="C52" s="5"/>
      <c r="M52" s="99"/>
      <c r="N52" s="99"/>
    </row>
    <row r="53" spans="2:14" ht="22.5" customHeight="1" x14ac:dyDescent="0.25">
      <c r="B53" s="5"/>
      <c r="C53" s="5"/>
      <c r="M53" s="99"/>
      <c r="N53" s="99"/>
    </row>
    <row r="54" spans="2:14" ht="13.5" customHeight="1" x14ac:dyDescent="0.25">
      <c r="B54" s="5"/>
      <c r="C54" s="5"/>
      <c r="M54" s="99"/>
      <c r="N54" s="99"/>
    </row>
    <row r="55" spans="2:14" ht="13.5" customHeight="1" x14ac:dyDescent="0.25">
      <c r="B55" s="5"/>
      <c r="C55" s="5"/>
      <c r="M55" s="99"/>
      <c r="N55" s="99"/>
    </row>
    <row r="56" spans="2:14" ht="13.5" customHeight="1" x14ac:dyDescent="0.25">
      <c r="B56" s="5"/>
      <c r="C56" s="5"/>
      <c r="M56" s="99"/>
      <c r="N56" s="99"/>
    </row>
    <row r="57" spans="2:14" ht="13.5" customHeight="1" x14ac:dyDescent="0.25">
      <c r="B57" s="5"/>
      <c r="C57" s="5"/>
      <c r="M57" s="99"/>
      <c r="N57" s="99"/>
    </row>
    <row r="58" spans="2:14" ht="13.5" customHeight="1" x14ac:dyDescent="0.25">
      <c r="B58" s="5"/>
      <c r="C58" s="5"/>
      <c r="M58" s="99"/>
      <c r="N58" s="99"/>
    </row>
    <row r="59" spans="2:14" ht="13.5" customHeight="1" x14ac:dyDescent="0.25">
      <c r="B59" s="5"/>
      <c r="C59" s="5"/>
      <c r="M59" s="99"/>
      <c r="N59" s="99"/>
    </row>
    <row r="60" spans="2:14" ht="13.5" customHeight="1" x14ac:dyDescent="0.25">
      <c r="B60" s="5"/>
      <c r="C60" s="5"/>
      <c r="M60" s="99"/>
      <c r="N60" s="99"/>
    </row>
    <row r="61" spans="2:14" ht="13.5" customHeight="1" x14ac:dyDescent="0.25">
      <c r="B61" s="5"/>
      <c r="C61" s="5"/>
      <c r="M61" s="99"/>
      <c r="N61" s="99"/>
    </row>
    <row r="62" spans="2:14" ht="13.5" customHeight="1" x14ac:dyDescent="0.25">
      <c r="B62" s="5"/>
      <c r="C62" s="5"/>
      <c r="M62" s="99"/>
      <c r="N62" s="99"/>
    </row>
    <row r="63" spans="2:14" ht="13.5" customHeight="1" x14ac:dyDescent="0.25">
      <c r="B63" s="5"/>
      <c r="C63" s="5"/>
      <c r="M63" s="99"/>
      <c r="N63" s="99"/>
    </row>
    <row r="64" spans="2:14" ht="13.5" customHeight="1" x14ac:dyDescent="0.25">
      <c r="B64" s="5"/>
      <c r="C64" s="5"/>
      <c r="M64" s="99"/>
      <c r="N64" s="99"/>
    </row>
    <row r="65" spans="2:14" ht="13.5" customHeight="1" x14ac:dyDescent="0.25">
      <c r="B65" s="5"/>
      <c r="C65" s="5"/>
      <c r="M65" s="99"/>
      <c r="N65" s="99"/>
    </row>
    <row r="66" spans="2:14" ht="13.5" customHeight="1" x14ac:dyDescent="0.25">
      <c r="B66" s="5"/>
      <c r="C66" s="5"/>
      <c r="M66" s="99"/>
      <c r="N66" s="99"/>
    </row>
    <row r="67" spans="2:14" ht="13.5" customHeight="1" x14ac:dyDescent="0.25">
      <c r="B67" s="5"/>
      <c r="C67" s="5"/>
      <c r="M67" s="99"/>
      <c r="N67" s="99"/>
    </row>
    <row r="68" spans="2:14" ht="13.5" customHeight="1" x14ac:dyDescent="0.25">
      <c r="B68" s="5"/>
      <c r="C68" s="5"/>
      <c r="M68" s="99"/>
      <c r="N68" s="99"/>
    </row>
    <row r="69" spans="2:14" ht="13.5" customHeight="1" x14ac:dyDescent="0.25">
      <c r="B69" s="5"/>
      <c r="C69" s="5"/>
      <c r="M69" s="99"/>
      <c r="N69" s="99"/>
    </row>
    <row r="70" spans="2:14" ht="21.75" customHeight="1" x14ac:dyDescent="0.25">
      <c r="B70" s="5"/>
      <c r="C70" s="5"/>
      <c r="D70" s="107" t="s">
        <v>63</v>
      </c>
      <c r="E70" s="108"/>
      <c r="F70" s="108"/>
      <c r="G70" s="108"/>
      <c r="H70" s="108"/>
      <c r="I70" s="108"/>
      <c r="J70" s="108"/>
      <c r="K70" s="108"/>
      <c r="L70" s="109"/>
      <c r="M70" s="99"/>
      <c r="N70" s="99"/>
    </row>
    <row r="71" spans="2:14" ht="25.5" customHeight="1" x14ac:dyDescent="0.25">
      <c r="B71" s="5"/>
      <c r="C71" s="5"/>
      <c r="D71" s="162" t="s">
        <v>117</v>
      </c>
      <c r="E71" s="162"/>
      <c r="F71" s="162"/>
      <c r="G71" s="162" t="s">
        <v>65</v>
      </c>
      <c r="H71" s="162"/>
      <c r="I71" s="162" t="s">
        <v>66</v>
      </c>
      <c r="J71" s="162"/>
      <c r="K71" s="162" t="s">
        <v>98</v>
      </c>
      <c r="L71" s="162"/>
      <c r="M71" s="99"/>
      <c r="N71" s="99"/>
    </row>
    <row r="72" spans="2:14" ht="13.5" customHeight="1" x14ac:dyDescent="0.25">
      <c r="B72" s="5"/>
      <c r="C72" s="133"/>
      <c r="M72" s="99"/>
      <c r="N72" s="99"/>
    </row>
    <row r="73" spans="2:14" ht="13.5" customHeight="1" x14ac:dyDescent="0.25">
      <c r="B73" s="5"/>
      <c r="C73" s="134"/>
      <c r="D73" s="38"/>
      <c r="E73" s="38"/>
      <c r="F73" s="38"/>
      <c r="G73" s="38"/>
      <c r="H73" s="38"/>
      <c r="I73" s="38"/>
      <c r="J73" s="38"/>
      <c r="K73" s="38"/>
      <c r="L73" s="38"/>
      <c r="M73" s="43"/>
      <c r="N73" s="99"/>
    </row>
    <row r="74" spans="2:14" ht="13.5" customHeight="1" x14ac:dyDescent="0.25">
      <c r="B74" s="5"/>
      <c r="C74" s="38"/>
      <c r="N74" s="99"/>
    </row>
    <row r="75" spans="2:14" ht="27" customHeight="1" x14ac:dyDescent="0.25">
      <c r="B75" s="84"/>
      <c r="C75" s="165" t="s">
        <v>68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99"/>
    </row>
    <row r="76" spans="2:14" ht="13.5" customHeight="1" x14ac:dyDescent="0.25">
      <c r="B76" s="84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43"/>
      <c r="N76" s="99"/>
    </row>
    <row r="77" spans="2:14" ht="13.5" customHeight="1" x14ac:dyDescent="0.25">
      <c r="B77" s="84"/>
      <c r="C77" s="188" t="s">
        <v>69</v>
      </c>
      <c r="D77" s="167"/>
      <c r="E77" s="167"/>
      <c r="F77" s="170">
        <v>374.294603</v>
      </c>
      <c r="G77" s="166" t="s">
        <v>70</v>
      </c>
      <c r="H77" s="164"/>
      <c r="I77" s="164"/>
      <c r="J77" s="164"/>
      <c r="K77" s="91"/>
      <c r="L77" s="50" t="s">
        <v>71</v>
      </c>
      <c r="M77" s="44">
        <f>INDEX('VEA Actividades'!$D$3:$D$12,+MATCH(G77,'VEA Actividades'!$C$3:$C$12,0))</f>
        <v>186335082.21149001</v>
      </c>
      <c r="N77" s="100"/>
    </row>
    <row r="78" spans="2:14" ht="13.5" customHeight="1" x14ac:dyDescent="0.25">
      <c r="B78" s="84"/>
      <c r="C78" s="188"/>
      <c r="D78" s="167"/>
      <c r="E78" s="167"/>
      <c r="F78" s="171"/>
      <c r="G78" s="166" t="s">
        <v>72</v>
      </c>
      <c r="H78" s="164"/>
      <c r="I78" s="164"/>
      <c r="J78" s="164"/>
      <c r="K78" s="91"/>
      <c r="L78" s="50" t="s">
        <v>71</v>
      </c>
      <c r="M78" s="44">
        <f>INDEX('VEA Actividades'!$D$3:$D$12,+MATCH(G78,'VEA Actividades'!$C$3:$C$12,0))</f>
        <v>2081977796.905612</v>
      </c>
      <c r="N78" s="100"/>
    </row>
    <row r="79" spans="2:14" ht="13.5" customHeight="1" x14ac:dyDescent="0.25">
      <c r="B79" s="84"/>
      <c r="C79" s="188"/>
      <c r="D79" s="167"/>
      <c r="E79" s="167"/>
      <c r="F79" s="171"/>
      <c r="G79" s="166" t="s">
        <v>73</v>
      </c>
      <c r="H79" s="164"/>
      <c r="I79" s="164"/>
      <c r="J79" s="164"/>
      <c r="K79" s="91"/>
      <c r="L79" s="50" t="s">
        <v>71</v>
      </c>
      <c r="M79" s="44">
        <f>INDEX('VEA Actividades'!$D$3:$D$12,+MATCH(G79,'VEA Actividades'!$C$3:$C$12,0))</f>
        <v>475841.59972000838</v>
      </c>
      <c r="N79" s="100"/>
    </row>
    <row r="80" spans="2:14" ht="13.5" customHeight="1" x14ac:dyDescent="0.25">
      <c r="B80" s="84"/>
      <c r="C80" s="188"/>
      <c r="D80" s="167"/>
      <c r="E80" s="167"/>
      <c r="F80" s="171"/>
      <c r="G80" s="166" t="s">
        <v>74</v>
      </c>
      <c r="H80" s="164"/>
      <c r="I80" s="164"/>
      <c r="J80" s="164"/>
      <c r="K80" s="91"/>
      <c r="L80" s="50" t="s">
        <v>71</v>
      </c>
      <c r="M80" s="44">
        <f>INDEX('VEA Actividades'!$D$3:$D$12,+MATCH(G80,'VEA Actividades'!$C$3:$C$12,0))</f>
        <v>186335082.21149001</v>
      </c>
      <c r="N80" s="100"/>
    </row>
    <row r="81" spans="2:14" ht="13.5" customHeight="1" x14ac:dyDescent="0.25">
      <c r="B81" s="84"/>
      <c r="C81" s="188"/>
      <c r="D81" s="167"/>
      <c r="E81" s="167"/>
      <c r="F81" s="207"/>
      <c r="G81" s="16"/>
      <c r="H81" s="46"/>
      <c r="I81" s="46"/>
      <c r="J81" s="46"/>
      <c r="K81" s="46"/>
      <c r="L81" s="50"/>
      <c r="M81" s="44"/>
      <c r="N81" s="100"/>
    </row>
    <row r="82" spans="2:14" ht="13.5" customHeight="1" x14ac:dyDescent="0.25">
      <c r="B82" s="84"/>
      <c r="C82" s="48" t="s">
        <v>75</v>
      </c>
      <c r="D82" s="48"/>
      <c r="E82" s="48"/>
      <c r="F82" s="49"/>
      <c r="G82" s="49"/>
      <c r="H82" s="49"/>
      <c r="I82" s="49"/>
      <c r="J82" s="49"/>
      <c r="K82" s="49"/>
      <c r="L82" s="51"/>
      <c r="M82" s="45">
        <f>SUM(M77:M80)</f>
        <v>2455123802.9283123</v>
      </c>
      <c r="N82" s="101"/>
    </row>
    <row r="83" spans="2:14" ht="13.5" customHeight="1" x14ac:dyDescent="0.25">
      <c r="B83" s="84"/>
      <c r="C83" s="188" t="s">
        <v>76</v>
      </c>
      <c r="D83" s="167"/>
      <c r="E83" s="167"/>
      <c r="F83" s="170">
        <v>351.47734200000002</v>
      </c>
      <c r="G83" s="166" t="s">
        <v>70</v>
      </c>
      <c r="H83" s="164"/>
      <c r="I83" s="164"/>
      <c r="J83" s="164"/>
      <c r="K83" s="91"/>
      <c r="L83" s="50" t="s">
        <v>71</v>
      </c>
      <c r="M83" s="44">
        <f>INDEX('VEA Actividades'!$D$3:$D$12,+MATCH(G83,'VEA Actividades'!$C$3:$C$12,0))</f>
        <v>186335082.21149001</v>
      </c>
      <c r="N83" s="102"/>
    </row>
    <row r="84" spans="2:14" ht="13.5" customHeight="1" x14ac:dyDescent="0.25">
      <c r="B84" s="84"/>
      <c r="C84" s="188"/>
      <c r="D84" s="167"/>
      <c r="E84" s="167"/>
      <c r="F84" s="171"/>
      <c r="G84" s="166" t="s">
        <v>72</v>
      </c>
      <c r="H84" s="164"/>
      <c r="I84" s="164"/>
      <c r="J84" s="164"/>
      <c r="K84" s="91"/>
      <c r="L84" s="50" t="s">
        <v>71</v>
      </c>
      <c r="M84" s="44">
        <f>INDEX('VEA Actividades'!$D$3:$D$12,+MATCH(G84,'VEA Actividades'!$C$3:$C$12,0))</f>
        <v>2081977796.905612</v>
      </c>
      <c r="N84" s="102"/>
    </row>
    <row r="85" spans="2:14" ht="13.5" customHeight="1" x14ac:dyDescent="0.25">
      <c r="B85" s="84"/>
      <c r="C85" s="188"/>
      <c r="D85" s="167"/>
      <c r="E85" s="167"/>
      <c r="F85" s="171"/>
      <c r="G85" s="166" t="s">
        <v>73</v>
      </c>
      <c r="H85" s="164"/>
      <c r="I85" s="164"/>
      <c r="J85" s="164"/>
      <c r="K85" s="91"/>
      <c r="L85" s="50" t="s">
        <v>71</v>
      </c>
      <c r="M85" s="44">
        <f>INDEX('VEA Actividades'!$D$3:$D$12,+MATCH(G85,'VEA Actividades'!$C$3:$C$12,0))</f>
        <v>475841.59972000838</v>
      </c>
      <c r="N85" s="102"/>
    </row>
    <row r="86" spans="2:14" ht="13.5" customHeight="1" x14ac:dyDescent="0.25">
      <c r="B86" s="84"/>
      <c r="C86" s="48" t="s">
        <v>77</v>
      </c>
      <c r="D86" s="48"/>
      <c r="E86" s="48"/>
      <c r="F86" s="49"/>
      <c r="G86" s="49"/>
      <c r="H86" s="49"/>
      <c r="I86" s="49"/>
      <c r="J86" s="49"/>
      <c r="K86" s="49"/>
      <c r="L86" s="51"/>
      <c r="M86" s="45">
        <f>SUM(M83:M85)</f>
        <v>2268788720.7168221</v>
      </c>
      <c r="N86" s="101"/>
    </row>
    <row r="87" spans="2:14" ht="13.5" customHeight="1" x14ac:dyDescent="0.25">
      <c r="B87" s="84"/>
      <c r="C87" s="172" t="s">
        <v>78</v>
      </c>
      <c r="D87" s="173"/>
      <c r="E87" s="174"/>
      <c r="F87" s="149">
        <v>296.80149999999998</v>
      </c>
      <c r="G87" s="163" t="s">
        <v>73</v>
      </c>
      <c r="H87" s="164"/>
      <c r="I87" s="164"/>
      <c r="J87" s="164"/>
      <c r="K87" s="91"/>
      <c r="L87" s="50" t="s">
        <v>71</v>
      </c>
      <c r="M87" s="44">
        <f>INDEX('VEA Actividades'!$D$3:$D$12,+MATCH(G87,'VEA Actividades'!$C$3:$C$12,0))</f>
        <v>475841.59972000838</v>
      </c>
      <c r="N87" s="102"/>
    </row>
    <row r="88" spans="2:14" ht="13.5" customHeight="1" x14ac:dyDescent="0.25">
      <c r="B88" s="84"/>
      <c r="C88" s="185"/>
      <c r="D88" s="186"/>
      <c r="E88" s="187"/>
      <c r="F88" s="149"/>
      <c r="G88" s="163" t="s">
        <v>72</v>
      </c>
      <c r="H88" s="164"/>
      <c r="I88" s="164"/>
      <c r="J88" s="164"/>
      <c r="K88" s="85"/>
      <c r="L88" s="52" t="s">
        <v>71</v>
      </c>
      <c r="M88" s="44">
        <f>INDEX('VEA Actividades'!$D$3:$D$12,+MATCH(G88,'VEA Actividades'!$C$3:$C$12,0))</f>
        <v>2081977796.905612</v>
      </c>
      <c r="N88" s="102"/>
    </row>
    <row r="89" spans="2:14" ht="13.5" customHeight="1" x14ac:dyDescent="0.25">
      <c r="B89" s="84"/>
      <c r="C89" s="48" t="s">
        <v>77</v>
      </c>
      <c r="D89" s="48"/>
      <c r="E89" s="48"/>
      <c r="F89" s="48"/>
      <c r="G89" s="49"/>
      <c r="H89" s="49"/>
      <c r="I89" s="49"/>
      <c r="J89" s="49"/>
      <c r="K89" s="49"/>
      <c r="L89" s="49"/>
      <c r="M89" s="45">
        <f>SUM(M87:M88)</f>
        <v>2082453638.505332</v>
      </c>
      <c r="N89" s="101"/>
    </row>
    <row r="90" spans="2:14" ht="13.5" customHeight="1" x14ac:dyDescent="0.25">
      <c r="B90" s="84"/>
      <c r="C90" s="172" t="s">
        <v>79</v>
      </c>
      <c r="D90" s="173"/>
      <c r="E90" s="174"/>
      <c r="F90" s="149">
        <v>0</v>
      </c>
      <c r="G90" s="163" t="s">
        <v>73</v>
      </c>
      <c r="H90" s="164"/>
      <c r="I90" s="164"/>
      <c r="J90" s="164"/>
      <c r="K90" s="91"/>
      <c r="L90" s="50" t="s">
        <v>71</v>
      </c>
      <c r="M90" s="44">
        <f>INDEX('VEA Actividades'!$D$3:$D$12,+MATCH(G90,'VEA Actividades'!$C$3:$C$12,0))</f>
        <v>475841.59972000838</v>
      </c>
      <c r="N90" s="101"/>
    </row>
    <row r="91" spans="2:14" ht="13.5" customHeight="1" x14ac:dyDescent="0.25">
      <c r="B91" s="84"/>
      <c r="C91" s="185"/>
      <c r="D91" s="186"/>
      <c r="E91" s="187"/>
      <c r="F91" s="149"/>
      <c r="G91" s="163" t="s">
        <v>72</v>
      </c>
      <c r="H91" s="164"/>
      <c r="I91" s="164"/>
      <c r="J91" s="164"/>
      <c r="K91" s="85"/>
      <c r="L91" s="52" t="s">
        <v>71</v>
      </c>
      <c r="M91" s="44">
        <f>INDEX('VEA Actividades'!$D$3:$D$12,+MATCH(G91,'VEA Actividades'!$C$3:$C$12,0))</f>
        <v>2081977796.905612</v>
      </c>
      <c r="N91" s="101"/>
    </row>
    <row r="92" spans="2:14" ht="13.5" customHeight="1" x14ac:dyDescent="0.25">
      <c r="B92" s="84"/>
      <c r="C92" s="48" t="s">
        <v>77</v>
      </c>
      <c r="D92" s="48"/>
      <c r="E92" s="48"/>
      <c r="F92" s="48"/>
      <c r="G92" s="49"/>
      <c r="H92" s="49"/>
      <c r="I92" s="49"/>
      <c r="J92" s="49"/>
      <c r="K92" s="49"/>
      <c r="L92" s="49"/>
      <c r="M92" s="45">
        <f>SUM(M90:M91)</f>
        <v>2082453638.505332</v>
      </c>
      <c r="N92" s="101"/>
    </row>
    <row r="93" spans="2:14" ht="13.5" customHeight="1" x14ac:dyDescent="0.25">
      <c r="B93" s="84"/>
      <c r="C93" s="172" t="s">
        <v>80</v>
      </c>
      <c r="D93" s="173"/>
      <c r="E93" s="174"/>
      <c r="F93" s="149">
        <v>47.379455999999998</v>
      </c>
      <c r="G93" s="206" t="s">
        <v>81</v>
      </c>
      <c r="H93" s="206"/>
      <c r="I93" s="206"/>
      <c r="J93" s="206"/>
      <c r="K93" s="206"/>
      <c r="L93" s="206"/>
      <c r="M93" s="206"/>
      <c r="N93" s="101"/>
    </row>
    <row r="94" spans="2:14" ht="13.5" customHeight="1" x14ac:dyDescent="0.25">
      <c r="B94" s="84"/>
      <c r="C94" s="185"/>
      <c r="D94" s="186"/>
      <c r="E94" s="187"/>
      <c r="F94" s="149"/>
      <c r="G94" s="206"/>
      <c r="H94" s="206"/>
      <c r="I94" s="206"/>
      <c r="J94" s="206"/>
      <c r="K94" s="206"/>
      <c r="L94" s="206"/>
      <c r="M94" s="206"/>
      <c r="N94" s="101"/>
    </row>
    <row r="95" spans="2:14" ht="13.5" customHeight="1" x14ac:dyDescent="0.25">
      <c r="B95" s="84"/>
      <c r="C95" s="98" t="s">
        <v>82</v>
      </c>
      <c r="D95" s="78"/>
      <c r="E95" s="78"/>
      <c r="F95" s="78"/>
      <c r="G95" s="48"/>
      <c r="H95" s="48"/>
      <c r="I95" s="48"/>
      <c r="J95" s="48"/>
      <c r="K95" s="48"/>
      <c r="L95" s="116"/>
      <c r="M95" s="80">
        <f>M89+M86+M82+M92</f>
        <v>8888819800.6557999</v>
      </c>
      <c r="N95" s="99"/>
    </row>
    <row r="96" spans="2:14" ht="13.5" customHeight="1" x14ac:dyDescent="0.25">
      <c r="B96" s="5"/>
      <c r="N96" s="99"/>
    </row>
    <row r="97" spans="2:14" ht="13.5" customHeight="1" x14ac:dyDescent="0.25">
      <c r="B97" s="5"/>
      <c r="N97" s="99"/>
    </row>
    <row r="98" spans="2:14" ht="22.5" customHeight="1" x14ac:dyDescent="0.25">
      <c r="B98" s="5"/>
      <c r="C98" s="165" t="s">
        <v>83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99"/>
    </row>
    <row r="99" spans="2:14" ht="13.5" customHeight="1" x14ac:dyDescent="0.25">
      <c r="B99" s="5"/>
      <c r="N99" s="99"/>
    </row>
    <row r="100" spans="2:14" ht="13.5" customHeight="1" x14ac:dyDescent="0.25">
      <c r="B100" s="5"/>
      <c r="C100" s="167" t="s">
        <v>288</v>
      </c>
      <c r="D100" s="167"/>
      <c r="E100" s="167"/>
      <c r="F100" s="168"/>
      <c r="G100" s="166" t="s">
        <v>70</v>
      </c>
      <c r="H100" s="164"/>
      <c r="I100" s="164"/>
      <c r="J100" s="164"/>
      <c r="K100" s="91"/>
      <c r="L100" s="50" t="s">
        <v>71</v>
      </c>
      <c r="M100" s="81">
        <f>INDEX('Necesidad ambiental'!$D$3:$D$12,+MATCH(G100,'Necesidad ambiental'!$C$3:$C$12,0))</f>
        <v>0</v>
      </c>
      <c r="N100" s="99"/>
    </row>
    <row r="101" spans="2:14" ht="23.25" customHeight="1" x14ac:dyDescent="0.25">
      <c r="B101" s="5"/>
      <c r="C101" s="167"/>
      <c r="D101" s="167"/>
      <c r="E101" s="167"/>
      <c r="F101" s="169"/>
      <c r="G101" s="166" t="s">
        <v>72</v>
      </c>
      <c r="H101" s="164"/>
      <c r="I101" s="164"/>
      <c r="J101" s="164"/>
      <c r="K101" s="91"/>
      <c r="L101" s="50" t="s">
        <v>71</v>
      </c>
      <c r="M101" s="81">
        <f>INDEX('Necesidad ambiental'!$D$3:$D$12,+MATCH(G101,'Necesidad ambiental'!$C$3:$C$12,0))</f>
        <v>0</v>
      </c>
      <c r="N101" s="99"/>
    </row>
    <row r="102" spans="2:14" ht="13.5" customHeight="1" x14ac:dyDescent="0.25">
      <c r="B102" s="5"/>
      <c r="C102" s="167"/>
      <c r="D102" s="167"/>
      <c r="E102" s="167"/>
      <c r="F102" s="169"/>
      <c r="G102" s="166" t="s">
        <v>73</v>
      </c>
      <c r="H102" s="164"/>
      <c r="I102" s="164"/>
      <c r="J102" s="164"/>
      <c r="K102" s="91"/>
      <c r="L102" s="50" t="s">
        <v>71</v>
      </c>
      <c r="M102" s="81" t="e">
        <f>INDEX('Necesidad ambiental'!$D$3:$D$12,+MATCH(G102,'Necesidad ambiental'!$C$3:$C$12,0))</f>
        <v>#DIV/0!</v>
      </c>
      <c r="N102" s="99"/>
    </row>
    <row r="103" spans="2:14" ht="13.5" customHeight="1" x14ac:dyDescent="0.25">
      <c r="B103" s="5"/>
      <c r="C103" s="167"/>
      <c r="D103" s="167"/>
      <c r="E103" s="167"/>
      <c r="F103" s="169"/>
      <c r="G103" s="166" t="s">
        <v>74</v>
      </c>
      <c r="H103" s="164"/>
      <c r="I103" s="164"/>
      <c r="J103" s="164"/>
      <c r="K103" s="91"/>
      <c r="L103" s="50" t="s">
        <v>71</v>
      </c>
      <c r="M103" s="81">
        <f>INDEX('Necesidad ambiental'!$D$3:$D$12,+MATCH(G103,'Necesidad ambiental'!$C$3:$C$12,0))</f>
        <v>0</v>
      </c>
      <c r="N103" s="99"/>
    </row>
    <row r="104" spans="2:14" ht="13.5" customHeight="1" x14ac:dyDescent="0.25">
      <c r="B104" s="5"/>
      <c r="C104" s="47" t="s">
        <v>75</v>
      </c>
      <c r="D104" s="48"/>
      <c r="E104" s="48"/>
      <c r="F104" s="49"/>
      <c r="G104" s="49"/>
      <c r="H104" s="49"/>
      <c r="I104" s="49"/>
      <c r="J104" s="49"/>
      <c r="K104" s="49"/>
      <c r="L104" s="51"/>
      <c r="M104" s="82" t="e">
        <f>SUM(M100:M103)</f>
        <v>#DIV/0!</v>
      </c>
      <c r="N104" s="99"/>
    </row>
    <row r="105" spans="2:14" ht="13.5" customHeight="1" x14ac:dyDescent="0.25">
      <c r="B105" s="5"/>
      <c r="C105" s="167">
        <v>10</v>
      </c>
      <c r="D105" s="167"/>
      <c r="E105" s="167"/>
      <c r="F105" s="170">
        <v>0</v>
      </c>
      <c r="G105" s="166" t="s">
        <v>70</v>
      </c>
      <c r="H105" s="164"/>
      <c r="I105" s="164"/>
      <c r="J105" s="164"/>
      <c r="K105" s="91"/>
      <c r="L105" s="50" t="s">
        <v>71</v>
      </c>
      <c r="M105" s="81">
        <v>0</v>
      </c>
      <c r="N105" s="99"/>
    </row>
    <row r="106" spans="2:14" ht="13.5" customHeight="1" x14ac:dyDescent="0.25">
      <c r="B106" s="5"/>
      <c r="C106" s="167"/>
      <c r="D106" s="167"/>
      <c r="E106" s="167"/>
      <c r="F106" s="171"/>
      <c r="G106" s="166" t="s">
        <v>72</v>
      </c>
      <c r="H106" s="164"/>
      <c r="I106" s="164"/>
      <c r="J106" s="164"/>
      <c r="K106" s="91"/>
      <c r="L106" s="50" t="s">
        <v>71</v>
      </c>
      <c r="M106" s="81">
        <v>0</v>
      </c>
      <c r="N106" s="99"/>
    </row>
    <row r="107" spans="2:14" ht="13.5" customHeight="1" x14ac:dyDescent="0.25">
      <c r="B107" s="5"/>
      <c r="C107" s="167"/>
      <c r="D107" s="167"/>
      <c r="E107" s="167"/>
      <c r="F107" s="171"/>
      <c r="G107" s="166" t="s">
        <v>73</v>
      </c>
      <c r="H107" s="164"/>
      <c r="I107" s="164"/>
      <c r="J107" s="164"/>
      <c r="K107" s="91"/>
      <c r="L107" s="50" t="s">
        <v>71</v>
      </c>
      <c r="M107" s="81">
        <v>0</v>
      </c>
      <c r="N107" s="99"/>
    </row>
    <row r="108" spans="2:14" ht="13.5" customHeight="1" x14ac:dyDescent="0.25">
      <c r="B108" s="5"/>
      <c r="C108" s="47" t="s">
        <v>77</v>
      </c>
      <c r="D108" s="48"/>
      <c r="E108" s="48"/>
      <c r="F108" s="49"/>
      <c r="G108" s="49"/>
      <c r="H108" s="49"/>
      <c r="I108" s="49"/>
      <c r="J108" s="49"/>
      <c r="K108" s="49"/>
      <c r="L108" s="51"/>
      <c r="M108" s="82">
        <f>SUM(M105:M107)</f>
        <v>0</v>
      </c>
      <c r="N108" s="99"/>
    </row>
    <row r="109" spans="2:14" ht="13.5" customHeight="1" x14ac:dyDescent="0.25">
      <c r="B109" s="5"/>
      <c r="C109" s="172">
        <v>7</v>
      </c>
      <c r="D109" s="173"/>
      <c r="E109" s="174"/>
      <c r="F109" s="149">
        <v>0</v>
      </c>
      <c r="G109" s="163" t="s">
        <v>73</v>
      </c>
      <c r="H109" s="164"/>
      <c r="I109" s="164"/>
      <c r="J109" s="164"/>
      <c r="K109" s="91"/>
      <c r="L109" s="50" t="s">
        <v>71</v>
      </c>
      <c r="M109" s="81">
        <v>0</v>
      </c>
      <c r="N109" s="99"/>
    </row>
    <row r="110" spans="2:14" ht="13.5" customHeight="1" x14ac:dyDescent="0.25">
      <c r="B110" s="5"/>
      <c r="C110" s="175"/>
      <c r="D110" s="176"/>
      <c r="E110" s="177"/>
      <c r="F110" s="149"/>
      <c r="G110" s="163" t="s">
        <v>72</v>
      </c>
      <c r="H110" s="164"/>
      <c r="I110" s="164"/>
      <c r="J110" s="164"/>
      <c r="K110" s="85"/>
      <c r="L110" s="52" t="s">
        <v>71</v>
      </c>
      <c r="M110" s="81">
        <v>0</v>
      </c>
      <c r="N110" s="99"/>
    </row>
    <row r="111" spans="2:14" ht="13.5" customHeight="1" x14ac:dyDescent="0.25">
      <c r="B111" s="5"/>
      <c r="C111" s="47" t="s">
        <v>77</v>
      </c>
      <c r="D111" s="48"/>
      <c r="E111" s="48"/>
      <c r="F111" s="48"/>
      <c r="G111" s="49"/>
      <c r="H111" s="49"/>
      <c r="I111" s="49"/>
      <c r="J111" s="49"/>
      <c r="K111" s="49"/>
      <c r="L111" s="49"/>
      <c r="M111" s="82">
        <f>SUM(M109:M110)</f>
        <v>0</v>
      </c>
      <c r="N111" s="99"/>
    </row>
    <row r="112" spans="2:14" ht="13.5" customHeight="1" x14ac:dyDescent="0.25">
      <c r="B112" s="5"/>
      <c r="C112" s="77" t="s">
        <v>82</v>
      </c>
      <c r="D112" s="78"/>
      <c r="E112" s="78"/>
      <c r="F112" s="78"/>
      <c r="G112" s="78"/>
      <c r="H112" s="78"/>
      <c r="I112" s="78"/>
      <c r="J112" s="78"/>
      <c r="K112" s="78"/>
      <c r="L112" s="79"/>
      <c r="M112" s="83" t="e">
        <f>M111+M108+M104</f>
        <v>#DIV/0!</v>
      </c>
      <c r="N112" s="99"/>
    </row>
    <row r="113" spans="2:14" ht="13.5" customHeight="1" x14ac:dyDescent="0.25">
      <c r="B113" s="104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43"/>
    </row>
    <row r="114" spans="2:14" ht="13.5" customHeight="1" x14ac:dyDescent="0.25"/>
    <row r="115" spans="2:14" ht="13.5" customHeight="1" x14ac:dyDescent="0.25"/>
    <row r="116" spans="2:14" ht="13.5" customHeight="1" x14ac:dyDescent="0.25"/>
    <row r="117" spans="2:14" ht="13.5" customHeight="1" x14ac:dyDescent="0.25"/>
    <row r="118" spans="2:14" ht="13.5" customHeight="1" x14ac:dyDescent="0.25"/>
    <row r="119" spans="2:14" ht="13.5" customHeight="1" x14ac:dyDescent="0.25"/>
    <row r="120" spans="2:14" ht="13.5" customHeight="1" x14ac:dyDescent="0.25"/>
    <row r="121" spans="2:14" ht="20.25" customHeight="1" x14ac:dyDescent="0.25"/>
    <row r="122" spans="2:14" ht="30" customHeight="1" x14ac:dyDescent="0.25"/>
    <row r="123" spans="2:14" ht="32.25" customHeight="1" x14ac:dyDescent="0.25"/>
    <row r="124" spans="2:14" ht="32.25" customHeight="1" x14ac:dyDescent="0.25"/>
    <row r="125" spans="2:14" ht="32.25" customHeight="1" x14ac:dyDescent="0.25"/>
    <row r="126" spans="2:14" ht="32.25" customHeight="1" x14ac:dyDescent="0.25"/>
    <row r="127" spans="2:14" ht="32.25" customHeight="1" x14ac:dyDescent="0.25"/>
    <row r="128" spans="2:14" ht="32.25" customHeight="1" x14ac:dyDescent="0.25"/>
    <row r="129" ht="32.25" customHeight="1" x14ac:dyDescent="0.25"/>
    <row r="130" ht="32.25" customHeight="1" x14ac:dyDescent="0.25"/>
    <row r="131" ht="32.25" customHeight="1" x14ac:dyDescent="0.25"/>
    <row r="132" ht="32.25" customHeight="1" x14ac:dyDescent="0.25"/>
    <row r="133" ht="32.25" customHeight="1" x14ac:dyDescent="0.25"/>
    <row r="134" ht="32.25" customHeight="1" x14ac:dyDescent="0.25"/>
    <row r="135" ht="32.25" customHeight="1" x14ac:dyDescent="0.25"/>
    <row r="136" ht="32.25" customHeight="1" x14ac:dyDescent="0.25"/>
    <row r="137" ht="32.25" customHeight="1" x14ac:dyDescent="0.25"/>
    <row r="138" ht="32.25" customHeight="1" x14ac:dyDescent="0.25"/>
    <row r="139" ht="32.25" customHeight="1" x14ac:dyDescent="0.25"/>
    <row r="140" ht="32.25" customHeight="1" x14ac:dyDescent="0.25"/>
    <row r="141" ht="26.25" customHeight="1" x14ac:dyDescent="0.25"/>
    <row r="142" ht="24" customHeight="1" x14ac:dyDescent="0.25"/>
    <row r="143" ht="32.25" customHeight="1" x14ac:dyDescent="0.25"/>
    <row r="144" ht="27.75" customHeight="1" x14ac:dyDescent="0.25"/>
    <row r="147" ht="15" customHeight="1" x14ac:dyDescent="0.25"/>
  </sheetData>
  <sheetProtection insertRows="0" insertHyperlinks="0" deleteColumns="0" deleteRows="0"/>
  <mergeCells count="78">
    <mergeCell ref="E7:H7"/>
    <mergeCell ref="E8:H8"/>
    <mergeCell ref="E9:H9"/>
    <mergeCell ref="E10:H10"/>
    <mergeCell ref="E12:H12"/>
    <mergeCell ref="J8:M8"/>
    <mergeCell ref="I71:J71"/>
    <mergeCell ref="G87:J87"/>
    <mergeCell ref="G84:J84"/>
    <mergeCell ref="G85:J85"/>
    <mergeCell ref="C38:M38"/>
    <mergeCell ref="G93:M94"/>
    <mergeCell ref="C77:E81"/>
    <mergeCell ref="F77:F81"/>
    <mergeCell ref="G77:J77"/>
    <mergeCell ref="G78:J78"/>
    <mergeCell ref="G79:J79"/>
    <mergeCell ref="G80:J80"/>
    <mergeCell ref="G90:J90"/>
    <mergeCell ref="G91:J91"/>
    <mergeCell ref="C90:E91"/>
    <mergeCell ref="F90:F91"/>
    <mergeCell ref="C93:E94"/>
    <mergeCell ref="F93:F94"/>
    <mergeCell ref="I19:I35"/>
    <mergeCell ref="L19:L35"/>
    <mergeCell ref="C8:D8"/>
    <mergeCell ref="C9:D9"/>
    <mergeCell ref="C10:D10"/>
    <mergeCell ref="C11:D11"/>
    <mergeCell ref="C12:D12"/>
    <mergeCell ref="C13:D13"/>
    <mergeCell ref="C19:C35"/>
    <mergeCell ref="C16:M16"/>
    <mergeCell ref="C17:M17"/>
    <mergeCell ref="E11:H11"/>
    <mergeCell ref="J9:M9"/>
    <mergeCell ref="E13:H13"/>
    <mergeCell ref="J11:M11"/>
    <mergeCell ref="C109:E110"/>
    <mergeCell ref="D19:D35"/>
    <mergeCell ref="C46:M46"/>
    <mergeCell ref="D42:D43"/>
    <mergeCell ref="I42:I43"/>
    <mergeCell ref="L42:L43"/>
    <mergeCell ref="C75:M75"/>
    <mergeCell ref="G71:H71"/>
    <mergeCell ref="C42:C43"/>
    <mergeCell ref="K71:L71"/>
    <mergeCell ref="G88:J88"/>
    <mergeCell ref="C87:E88"/>
    <mergeCell ref="F87:F88"/>
    <mergeCell ref="G83:J83"/>
    <mergeCell ref="C83:E85"/>
    <mergeCell ref="F83:F85"/>
    <mergeCell ref="G100:J100"/>
    <mergeCell ref="G101:J101"/>
    <mergeCell ref="C105:E107"/>
    <mergeCell ref="F105:F107"/>
    <mergeCell ref="G107:J107"/>
    <mergeCell ref="G102:J102"/>
    <mergeCell ref="G103:J103"/>
    <mergeCell ref="F109:F110"/>
    <mergeCell ref="C3:D4"/>
    <mergeCell ref="C5:D5"/>
    <mergeCell ref="E3:M3"/>
    <mergeCell ref="C6:M6"/>
    <mergeCell ref="C7:D7"/>
    <mergeCell ref="J7:M7"/>
    <mergeCell ref="E42:E43"/>
    <mergeCell ref="D71:F71"/>
    <mergeCell ref="G109:J109"/>
    <mergeCell ref="G110:J110"/>
    <mergeCell ref="C98:M98"/>
    <mergeCell ref="G105:J105"/>
    <mergeCell ref="G106:J106"/>
    <mergeCell ref="C100:E103"/>
    <mergeCell ref="F100:F103"/>
  </mergeCells>
  <conditionalFormatting sqref="H19:H35">
    <cfRule type="expression" dxfId="31" priority="29">
      <formula>$H19="Dar porcentaje de línea base"</formula>
    </cfRule>
    <cfRule type="expression" dxfId="30" priority="30">
      <formula>$H19="Óptimo"</formula>
    </cfRule>
    <cfRule type="expression" dxfId="29" priority="31">
      <formula>$H19="Bueno"</formula>
    </cfRule>
    <cfRule type="expression" dxfId="28" priority="32">
      <formula>$H19="Aceptable"</formula>
    </cfRule>
    <cfRule type="expression" dxfId="27" priority="33">
      <formula>$H19="Malo"</formula>
    </cfRule>
    <cfRule type="expression" dxfId="26" priority="34">
      <formula>$H19="Crítico"</formula>
    </cfRule>
  </conditionalFormatting>
  <conditionalFormatting sqref="K19:K35">
    <cfRule type="expression" dxfId="25" priority="22">
      <formula>$K19="Dar porcentaje condición pos-evento"</formula>
    </cfRule>
    <cfRule type="expression" dxfId="24" priority="23">
      <formula>$K19="Crítico"</formula>
    </cfRule>
    <cfRule type="expression" dxfId="23" priority="24">
      <formula>$K19="Óptimo"</formula>
    </cfRule>
    <cfRule type="expression" dxfId="22" priority="25">
      <formula>$K19="Bueno"</formula>
    </cfRule>
    <cfRule type="expression" dxfId="21" priority="26">
      <formula>$K19="Aceptable"</formula>
    </cfRule>
    <cfRule type="expression" dxfId="20" priority="27">
      <formula>$K19="Malo"</formula>
    </cfRule>
  </conditionalFormatting>
  <conditionalFormatting sqref="M19:M35">
    <cfRule type="expression" dxfId="19" priority="17">
      <formula>$M19="Alta Afectación (4)"</formula>
    </cfRule>
    <cfRule type="expression" dxfId="18" priority="18">
      <formula>$M19="Media Afectación (3)"</formula>
    </cfRule>
    <cfRule type="expression" dxfId="17" priority="20">
      <formula>$M19="Baja Afectación (2)"</formula>
    </cfRule>
    <cfRule type="expression" dxfId="16" priority="21">
      <formula>$M19="Muy Baja Afectación (1)"</formula>
    </cfRule>
  </conditionalFormatting>
  <conditionalFormatting sqref="H40:H44">
    <cfRule type="expression" dxfId="15" priority="11">
      <formula>$H40="Dar porcentaje de línea base"</formula>
    </cfRule>
    <cfRule type="expression" dxfId="14" priority="12">
      <formula>$H40="Óptimo"</formula>
    </cfRule>
    <cfRule type="expression" dxfId="13" priority="13">
      <formula>$H40="Bueno"</formula>
    </cfRule>
    <cfRule type="expression" dxfId="12" priority="14">
      <formula>$H40="Aceptable"</formula>
    </cfRule>
    <cfRule type="expression" dxfId="11" priority="15">
      <formula>$H40="Malo"</formula>
    </cfRule>
    <cfRule type="expression" dxfId="10" priority="16">
      <formula>$H40="Crítico"</formula>
    </cfRule>
  </conditionalFormatting>
  <conditionalFormatting sqref="K40:K44">
    <cfRule type="expression" dxfId="9" priority="5">
      <formula>$K40="Dar porcentaje condición pos-evento"</formula>
    </cfRule>
    <cfRule type="expression" dxfId="8" priority="6">
      <formula>$K40="Crítico"</formula>
    </cfRule>
    <cfRule type="expression" dxfId="7" priority="7">
      <formula>$K40="Óptimo"</formula>
    </cfRule>
    <cfRule type="expression" dxfId="6" priority="8">
      <formula>$K40="Bueno"</formula>
    </cfRule>
    <cfRule type="expression" dxfId="5" priority="9">
      <formula>$K40="Aceptable"</formula>
    </cfRule>
    <cfRule type="expression" dxfId="4" priority="10">
      <formula>$K40="Malo"</formula>
    </cfRule>
  </conditionalFormatting>
  <conditionalFormatting sqref="M40:M44">
    <cfRule type="expression" dxfId="3" priority="1">
      <formula>$M40="Alta Afectación (4)"</formula>
    </cfRule>
    <cfRule type="expression" dxfId="2" priority="2">
      <formula>$M40="Media Afectación (3)"</formula>
    </cfRule>
    <cfRule type="expression" dxfId="1" priority="3">
      <formula>$M40="Baja Afectación (2)"</formula>
    </cfRule>
    <cfRule type="expression" dxfId="0" priority="4">
      <formula>$M40="Muy Baja Afectación (1)"</formula>
    </cfRule>
  </conditionalFormatting>
  <dataValidations count="2">
    <dataValidation type="decimal" operator="lessThanOrEqual" allowBlank="1" showInputMessage="1" showErrorMessage="1" sqref="J40:J44 J19:J37" xr:uid="{5A422B5F-0247-42C6-9812-09DA8E84C4DE}">
      <formula1>G19</formula1>
    </dataValidation>
    <dataValidation type="decimal" operator="lessThanOrEqual" allowBlank="1" showInputMessage="1" showErrorMessage="1" sqref="L19 L44 L40:L42" xr:uid="{0341E63D-2F7D-4A65-9E7C-F646F992FDBA}">
      <formula1>H19</formula1>
    </dataValidation>
  </dataValidations>
  <pageMargins left="0.25" right="0.25" top="0.75" bottom="0.75" header="0.3" footer="0.3"/>
  <pageSetup scale="4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F8BE03-426B-4726-A08E-A52A981AC98C}">
          <x14:formula1>
            <xm:f>'Variables - Valoración'!$G$6:$G$18</xm:f>
          </x14:formula1>
          <xm:sqref>I71 D71 G71 K71</xm:sqref>
        </x14:dataValidation>
        <x14:dataValidation type="list" allowBlank="1" showInputMessage="1" showErrorMessage="1" xr:uid="{344AA466-2C64-4C2C-AA13-0D87CBFCEC7E}">
          <x14:formula1>
            <xm:f>'VEA Actividades'!$C$3:$C$12</xm:f>
          </x14:formula1>
          <xm:sqref>G77:J81 G83:J85 G87:J88 G90:J91 G100:J103 G105:J107 G109:J110</xm:sqref>
        </x14:dataValidation>
        <x14:dataValidation type="list" allowBlank="1" showInputMessage="1" showErrorMessage="1" xr:uid="{09138E9F-E313-48C5-864C-A0FC12813055}">
          <x14:formula1>
            <xm:f>'Variables - Valoración'!$C$6:$C$49</xm:f>
          </x14:formula1>
          <xm:sqref>E19:E37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DE6D-7449-4618-8799-6E9A98D4C3EF}">
  <dimension ref="B1:J66"/>
  <sheetViews>
    <sheetView topLeftCell="A51" workbookViewId="0">
      <selection activeCell="C60" sqref="C60:E66"/>
    </sheetView>
  </sheetViews>
  <sheetFormatPr baseColWidth="10" defaultColWidth="11.42578125" defaultRowHeight="15" x14ac:dyDescent="0.25"/>
  <cols>
    <col min="2" max="2" width="14.7109375" customWidth="1"/>
    <col min="3" max="3" width="36.5703125" customWidth="1"/>
    <col min="4" max="5" width="36.5703125" style="18" customWidth="1"/>
    <col min="6" max="8" width="36.5703125" customWidth="1"/>
    <col min="9" max="10" width="32" customWidth="1"/>
  </cols>
  <sheetData>
    <row r="1" spans="2:10" ht="15.75" x14ac:dyDescent="0.25">
      <c r="E1" s="106"/>
    </row>
    <row r="3" spans="2:10" x14ac:dyDescent="0.25">
      <c r="B3" t="s">
        <v>84</v>
      </c>
    </row>
    <row r="5" spans="2:10" x14ac:dyDescent="0.25">
      <c r="B5" s="28" t="s">
        <v>85</v>
      </c>
      <c r="C5" s="28" t="s">
        <v>86</v>
      </c>
      <c r="D5" s="28" t="s">
        <v>87</v>
      </c>
      <c r="E5" s="28" t="s">
        <v>88</v>
      </c>
      <c r="F5" s="19" t="s">
        <v>89</v>
      </c>
      <c r="G5" s="19" t="s">
        <v>90</v>
      </c>
      <c r="H5" s="19" t="s">
        <v>91</v>
      </c>
      <c r="I5" s="19" t="s">
        <v>92</v>
      </c>
      <c r="J5" s="19"/>
    </row>
    <row r="6" spans="2:10" ht="15" customHeight="1" x14ac:dyDescent="0.25">
      <c r="B6" s="210" t="s">
        <v>93</v>
      </c>
      <c r="C6" s="29" t="s">
        <v>32</v>
      </c>
      <c r="D6" s="33">
        <v>1</v>
      </c>
      <c r="E6" s="30" t="s">
        <v>94</v>
      </c>
      <c r="F6" t="s">
        <v>95</v>
      </c>
      <c r="G6" t="s">
        <v>96</v>
      </c>
      <c r="H6" s="19"/>
      <c r="I6" s="19"/>
      <c r="J6" s="19"/>
    </row>
    <row r="7" spans="2:10" x14ac:dyDescent="0.25">
      <c r="B7" s="210"/>
      <c r="C7" s="29" t="s">
        <v>33</v>
      </c>
      <c r="D7" s="33">
        <v>1</v>
      </c>
      <c r="E7" s="30" t="s">
        <v>94</v>
      </c>
      <c r="F7" t="s">
        <v>97</v>
      </c>
      <c r="G7" t="s">
        <v>98</v>
      </c>
      <c r="H7" s="19"/>
      <c r="I7" s="19"/>
      <c r="J7" s="19"/>
    </row>
    <row r="8" spans="2:10" x14ac:dyDescent="0.25">
      <c r="B8" s="210"/>
      <c r="C8" s="29" t="s">
        <v>99</v>
      </c>
      <c r="D8" s="33">
        <v>1</v>
      </c>
      <c r="E8" s="30" t="s">
        <v>94</v>
      </c>
      <c r="F8" t="s">
        <v>100</v>
      </c>
      <c r="G8" t="s">
        <v>101</v>
      </c>
      <c r="H8" s="19"/>
      <c r="I8" s="19"/>
      <c r="J8" s="19"/>
    </row>
    <row r="9" spans="2:10" x14ac:dyDescent="0.25">
      <c r="B9" s="210"/>
      <c r="C9" s="29" t="s">
        <v>102</v>
      </c>
      <c r="D9" s="33">
        <v>1</v>
      </c>
      <c r="E9" s="30" t="s">
        <v>94</v>
      </c>
      <c r="F9" t="s">
        <v>103</v>
      </c>
      <c r="G9" t="s">
        <v>64</v>
      </c>
      <c r="H9" s="19"/>
      <c r="I9" s="19"/>
      <c r="J9" s="19"/>
    </row>
    <row r="10" spans="2:10" x14ac:dyDescent="0.25">
      <c r="B10" s="210"/>
      <c r="C10" s="29" t="s">
        <v>104</v>
      </c>
      <c r="D10" s="33">
        <v>1</v>
      </c>
      <c r="E10" s="30" t="s">
        <v>94</v>
      </c>
      <c r="F10" t="s">
        <v>105</v>
      </c>
      <c r="G10" t="s">
        <v>106</v>
      </c>
      <c r="I10" s="20"/>
      <c r="J10" s="20"/>
    </row>
    <row r="11" spans="2:10" x14ac:dyDescent="0.25">
      <c r="B11" s="210"/>
      <c r="C11" s="29" t="s">
        <v>34</v>
      </c>
      <c r="D11" s="33">
        <v>1</v>
      </c>
      <c r="E11" s="30" t="s">
        <v>94</v>
      </c>
      <c r="G11" t="s">
        <v>107</v>
      </c>
      <c r="I11" s="20"/>
      <c r="J11" s="20"/>
    </row>
    <row r="12" spans="2:10" x14ac:dyDescent="0.25">
      <c r="B12" s="210"/>
      <c r="C12" s="29" t="s">
        <v>108</v>
      </c>
      <c r="D12" s="33">
        <v>1</v>
      </c>
      <c r="E12" s="30" t="s">
        <v>94</v>
      </c>
      <c r="G12" t="s">
        <v>66</v>
      </c>
      <c r="I12" s="20"/>
      <c r="J12" s="20"/>
    </row>
    <row r="13" spans="2:10" x14ac:dyDescent="0.25">
      <c r="B13" s="210"/>
      <c r="C13" s="29" t="s">
        <v>109</v>
      </c>
      <c r="D13" s="33">
        <v>2</v>
      </c>
      <c r="E13" s="31" t="s">
        <v>110</v>
      </c>
      <c r="G13" t="s">
        <v>65</v>
      </c>
      <c r="I13" s="20"/>
      <c r="J13" s="20"/>
    </row>
    <row r="14" spans="2:10" x14ac:dyDescent="0.25">
      <c r="B14" s="210"/>
      <c r="C14" s="29" t="s">
        <v>111</v>
      </c>
      <c r="D14" s="33">
        <v>2</v>
      </c>
      <c r="E14" s="31" t="s">
        <v>110</v>
      </c>
      <c r="G14" t="s">
        <v>112</v>
      </c>
      <c r="I14" s="20"/>
      <c r="J14" s="20"/>
    </row>
    <row r="15" spans="2:10" x14ac:dyDescent="0.25">
      <c r="B15" s="210"/>
      <c r="C15" s="29" t="s">
        <v>113</v>
      </c>
      <c r="D15" s="33">
        <v>1</v>
      </c>
      <c r="E15" s="30" t="s">
        <v>94</v>
      </c>
      <c r="G15" t="s">
        <v>67</v>
      </c>
      <c r="I15" s="20"/>
      <c r="J15" s="20"/>
    </row>
    <row r="16" spans="2:10" x14ac:dyDescent="0.25">
      <c r="B16" s="210"/>
      <c r="C16" s="29" t="s">
        <v>35</v>
      </c>
      <c r="D16" s="33">
        <v>1</v>
      </c>
      <c r="E16" s="30" t="s">
        <v>94</v>
      </c>
      <c r="G16" t="s">
        <v>114</v>
      </c>
      <c r="I16" s="20"/>
      <c r="J16" s="20"/>
    </row>
    <row r="17" spans="2:10" x14ac:dyDescent="0.25">
      <c r="B17" s="210"/>
      <c r="C17" s="29" t="s">
        <v>115</v>
      </c>
      <c r="D17" s="33">
        <v>2</v>
      </c>
      <c r="E17" s="31" t="s">
        <v>110</v>
      </c>
      <c r="G17" t="s">
        <v>116</v>
      </c>
      <c r="I17" s="20"/>
      <c r="J17" s="20"/>
    </row>
    <row r="18" spans="2:10" x14ac:dyDescent="0.25">
      <c r="B18" s="210"/>
      <c r="C18" s="29" t="s">
        <v>36</v>
      </c>
      <c r="D18" s="33">
        <v>1</v>
      </c>
      <c r="E18" s="30" t="s">
        <v>94</v>
      </c>
      <c r="G18" t="s">
        <v>117</v>
      </c>
      <c r="I18" s="20"/>
      <c r="J18" s="20"/>
    </row>
    <row r="19" spans="2:10" x14ac:dyDescent="0.25">
      <c r="B19" s="210"/>
      <c r="C19" s="29" t="s">
        <v>118</v>
      </c>
      <c r="D19" s="33">
        <v>1</v>
      </c>
      <c r="E19" s="30" t="s">
        <v>94</v>
      </c>
      <c r="I19" s="20"/>
      <c r="J19" s="20"/>
    </row>
    <row r="20" spans="2:10" x14ac:dyDescent="0.25">
      <c r="B20" s="210"/>
      <c r="C20" s="29" t="s">
        <v>119</v>
      </c>
      <c r="D20" s="33">
        <v>1</v>
      </c>
      <c r="E20" s="30" t="s">
        <v>94</v>
      </c>
      <c r="I20" s="20"/>
      <c r="J20" s="20"/>
    </row>
    <row r="21" spans="2:10" x14ac:dyDescent="0.25">
      <c r="B21" s="210"/>
      <c r="C21" s="29" t="s">
        <v>120</v>
      </c>
      <c r="D21" s="33">
        <v>1</v>
      </c>
      <c r="E21" s="30" t="s">
        <v>94</v>
      </c>
      <c r="I21" s="20"/>
      <c r="J21" s="20"/>
    </row>
    <row r="22" spans="2:10" x14ac:dyDescent="0.25">
      <c r="B22" s="210"/>
      <c r="C22" s="29" t="s">
        <v>37</v>
      </c>
      <c r="D22" s="33">
        <v>2</v>
      </c>
      <c r="E22" s="31" t="s">
        <v>110</v>
      </c>
      <c r="I22" s="20"/>
      <c r="J22" s="20"/>
    </row>
    <row r="23" spans="2:10" x14ac:dyDescent="0.25">
      <c r="B23" s="210"/>
      <c r="C23" s="29" t="s">
        <v>121</v>
      </c>
      <c r="D23" s="33">
        <v>2</v>
      </c>
      <c r="E23" s="31" t="s">
        <v>110</v>
      </c>
      <c r="I23" s="20"/>
      <c r="J23" s="20"/>
    </row>
    <row r="24" spans="2:10" x14ac:dyDescent="0.25">
      <c r="B24" s="210"/>
      <c r="C24" s="29" t="s">
        <v>38</v>
      </c>
      <c r="D24" s="33">
        <v>3</v>
      </c>
      <c r="E24" s="32" t="s">
        <v>122</v>
      </c>
      <c r="I24" s="20"/>
      <c r="J24" s="20"/>
    </row>
    <row r="25" spans="2:10" x14ac:dyDescent="0.25">
      <c r="B25" s="210"/>
      <c r="C25" s="29" t="s">
        <v>39</v>
      </c>
      <c r="D25" s="33">
        <v>3</v>
      </c>
      <c r="E25" s="32" t="s">
        <v>122</v>
      </c>
      <c r="I25" s="20"/>
      <c r="J25" s="20"/>
    </row>
    <row r="26" spans="2:10" x14ac:dyDescent="0.25">
      <c r="B26" s="210"/>
      <c r="C26" s="29" t="s">
        <v>123</v>
      </c>
      <c r="D26" s="33">
        <v>3</v>
      </c>
      <c r="E26" s="32" t="s">
        <v>122</v>
      </c>
      <c r="I26" s="20"/>
      <c r="J26" s="20"/>
    </row>
    <row r="27" spans="2:10" x14ac:dyDescent="0.25">
      <c r="B27" s="210"/>
      <c r="C27" s="29" t="s">
        <v>40</v>
      </c>
      <c r="D27" s="33">
        <v>3</v>
      </c>
      <c r="E27" s="32" t="s">
        <v>122</v>
      </c>
      <c r="I27" s="20"/>
      <c r="J27" s="20"/>
    </row>
    <row r="28" spans="2:10" x14ac:dyDescent="0.25">
      <c r="B28" s="210"/>
      <c r="C28" s="29" t="s">
        <v>41</v>
      </c>
      <c r="D28" s="33">
        <v>2</v>
      </c>
      <c r="E28" s="31" t="s">
        <v>110</v>
      </c>
      <c r="I28" s="20"/>
      <c r="J28" s="20"/>
    </row>
    <row r="29" spans="2:10" x14ac:dyDescent="0.25">
      <c r="B29" s="210"/>
      <c r="C29" s="29" t="s">
        <v>42</v>
      </c>
      <c r="D29" s="33">
        <v>3</v>
      </c>
      <c r="E29" s="32" t="s">
        <v>122</v>
      </c>
      <c r="I29" s="20"/>
      <c r="J29" s="20"/>
    </row>
    <row r="30" spans="2:10" x14ac:dyDescent="0.25">
      <c r="B30" s="210"/>
      <c r="C30" s="29" t="s">
        <v>124</v>
      </c>
      <c r="D30" s="33">
        <v>3</v>
      </c>
      <c r="E30" s="32" t="s">
        <v>122</v>
      </c>
      <c r="I30" s="20"/>
      <c r="J30" s="20"/>
    </row>
    <row r="31" spans="2:10" x14ac:dyDescent="0.25">
      <c r="B31" s="210"/>
      <c r="C31" s="29" t="s">
        <v>43</v>
      </c>
      <c r="D31" s="33">
        <v>2</v>
      </c>
      <c r="E31" s="31" t="s">
        <v>110</v>
      </c>
      <c r="I31" s="20"/>
      <c r="J31" s="20"/>
    </row>
    <row r="32" spans="2:10" x14ac:dyDescent="0.25">
      <c r="B32" s="210"/>
      <c r="C32" s="29" t="s">
        <v>44</v>
      </c>
      <c r="D32" s="33">
        <v>3</v>
      </c>
      <c r="E32" s="32" t="s">
        <v>122</v>
      </c>
      <c r="I32" s="20"/>
      <c r="J32" s="20"/>
    </row>
    <row r="33" spans="2:10" x14ac:dyDescent="0.25">
      <c r="B33" s="210"/>
      <c r="C33" s="29" t="s">
        <v>125</v>
      </c>
      <c r="D33" s="33">
        <v>1</v>
      </c>
      <c r="E33" s="30" t="s">
        <v>94</v>
      </c>
      <c r="I33" s="20"/>
      <c r="J33" s="20"/>
    </row>
    <row r="34" spans="2:10" x14ac:dyDescent="0.25">
      <c r="B34" s="210"/>
      <c r="C34" s="29" t="s">
        <v>45</v>
      </c>
      <c r="D34" s="33">
        <v>1</v>
      </c>
      <c r="E34" s="30" t="s">
        <v>94</v>
      </c>
      <c r="I34" s="20"/>
      <c r="J34" s="20"/>
    </row>
    <row r="35" spans="2:10" x14ac:dyDescent="0.25">
      <c r="B35" s="210"/>
      <c r="C35" s="29" t="s">
        <v>126</v>
      </c>
      <c r="D35" s="33">
        <v>1</v>
      </c>
      <c r="E35" s="30" t="s">
        <v>94</v>
      </c>
      <c r="I35" s="20"/>
      <c r="J35" s="20"/>
    </row>
    <row r="36" spans="2:10" x14ac:dyDescent="0.25">
      <c r="B36" s="210"/>
      <c r="C36" s="29" t="s">
        <v>127</v>
      </c>
      <c r="D36" s="33">
        <v>3</v>
      </c>
      <c r="E36" s="32" t="s">
        <v>122</v>
      </c>
      <c r="I36" s="20"/>
      <c r="J36" s="20"/>
    </row>
    <row r="37" spans="2:10" x14ac:dyDescent="0.25">
      <c r="B37" s="210"/>
      <c r="C37" s="29" t="s">
        <v>128</v>
      </c>
      <c r="D37" s="33">
        <v>3</v>
      </c>
      <c r="E37" s="32" t="s">
        <v>122</v>
      </c>
      <c r="I37" s="20"/>
      <c r="J37" s="20"/>
    </row>
    <row r="38" spans="2:10" x14ac:dyDescent="0.25">
      <c r="B38" s="210"/>
      <c r="C38" s="29" t="s">
        <v>129</v>
      </c>
      <c r="D38" s="33">
        <v>3</v>
      </c>
      <c r="E38" s="32" t="s">
        <v>122</v>
      </c>
      <c r="I38" s="20"/>
      <c r="J38" s="20"/>
    </row>
    <row r="39" spans="2:10" x14ac:dyDescent="0.25">
      <c r="B39" s="210"/>
      <c r="C39" s="29" t="s">
        <v>130</v>
      </c>
      <c r="D39" s="33">
        <v>2</v>
      </c>
      <c r="E39" s="31" t="s">
        <v>110</v>
      </c>
      <c r="I39" s="20"/>
      <c r="J39" s="20"/>
    </row>
    <row r="40" spans="2:10" x14ac:dyDescent="0.25">
      <c r="B40" s="210"/>
      <c r="C40" s="29" t="s">
        <v>131</v>
      </c>
      <c r="D40" s="33">
        <v>3</v>
      </c>
      <c r="E40" s="32" t="s">
        <v>122</v>
      </c>
      <c r="I40" s="20"/>
      <c r="J40" s="20"/>
    </row>
    <row r="41" spans="2:10" x14ac:dyDescent="0.25">
      <c r="B41" s="210"/>
      <c r="C41" s="29" t="s">
        <v>132</v>
      </c>
      <c r="D41" s="33">
        <v>2</v>
      </c>
      <c r="E41" s="31" t="s">
        <v>110</v>
      </c>
      <c r="I41" s="20"/>
      <c r="J41" s="20"/>
    </row>
    <row r="42" spans="2:10" x14ac:dyDescent="0.25">
      <c r="B42" s="210"/>
      <c r="C42" s="29" t="s">
        <v>133</v>
      </c>
      <c r="D42" s="33">
        <v>2</v>
      </c>
      <c r="E42" s="31" t="s">
        <v>110</v>
      </c>
      <c r="I42" s="20"/>
      <c r="J42" s="20"/>
    </row>
    <row r="43" spans="2:10" x14ac:dyDescent="0.25">
      <c r="B43" s="210"/>
      <c r="C43" s="29" t="s">
        <v>46</v>
      </c>
      <c r="D43" s="33">
        <v>3</v>
      </c>
      <c r="E43" s="32" t="s">
        <v>122</v>
      </c>
      <c r="I43" s="20"/>
      <c r="J43" s="20"/>
    </row>
    <row r="44" spans="2:10" x14ac:dyDescent="0.25">
      <c r="B44" s="210"/>
      <c r="C44" s="29" t="s">
        <v>134</v>
      </c>
      <c r="D44" s="33">
        <v>3</v>
      </c>
      <c r="E44" s="32" t="s">
        <v>122</v>
      </c>
      <c r="I44" s="20"/>
      <c r="J44" s="20"/>
    </row>
    <row r="45" spans="2:10" x14ac:dyDescent="0.25">
      <c r="B45" s="210"/>
      <c r="C45" s="29" t="s">
        <v>135</v>
      </c>
      <c r="D45" s="33">
        <v>2</v>
      </c>
      <c r="E45" s="31" t="s">
        <v>110</v>
      </c>
      <c r="I45" s="20"/>
      <c r="J45" s="20"/>
    </row>
    <row r="46" spans="2:10" x14ac:dyDescent="0.25">
      <c r="B46" s="210"/>
      <c r="C46" s="29" t="s">
        <v>136</v>
      </c>
      <c r="D46" s="33">
        <v>2</v>
      </c>
      <c r="E46" s="31" t="s">
        <v>110</v>
      </c>
      <c r="I46" s="20"/>
      <c r="J46" s="20"/>
    </row>
    <row r="47" spans="2:10" x14ac:dyDescent="0.25">
      <c r="B47" s="210"/>
      <c r="C47" s="29" t="s">
        <v>137</v>
      </c>
      <c r="D47" s="33">
        <v>3</v>
      </c>
      <c r="E47" s="32" t="s">
        <v>122</v>
      </c>
      <c r="I47" s="20"/>
      <c r="J47" s="20"/>
    </row>
    <row r="48" spans="2:10" x14ac:dyDescent="0.25">
      <c r="B48" s="210"/>
      <c r="C48" s="29" t="s">
        <v>138</v>
      </c>
      <c r="D48" s="33">
        <v>3</v>
      </c>
      <c r="E48" s="32" t="s">
        <v>122</v>
      </c>
      <c r="I48" s="20"/>
      <c r="J48" s="20"/>
    </row>
    <row r="49" spans="2:10" x14ac:dyDescent="0.25">
      <c r="B49" s="210"/>
      <c r="C49" s="29" t="s">
        <v>139</v>
      </c>
      <c r="D49" s="33">
        <v>1</v>
      </c>
      <c r="E49" s="30" t="s">
        <v>94</v>
      </c>
      <c r="I49" s="20"/>
      <c r="J49" s="20"/>
    </row>
    <row r="50" spans="2:10" ht="15" customHeight="1" x14ac:dyDescent="0.25">
      <c r="B50" s="27"/>
      <c r="F50" s="20"/>
      <c r="G50" s="20"/>
      <c r="H50" s="20"/>
      <c r="I50" s="209"/>
      <c r="J50" s="209"/>
    </row>
    <row r="51" spans="2:10" x14ac:dyDescent="0.25">
      <c r="B51" s="27"/>
      <c r="F51" s="20"/>
      <c r="G51" s="20"/>
      <c r="H51" s="20"/>
      <c r="I51" s="209"/>
      <c r="J51" s="209"/>
    </row>
    <row r="52" spans="2:10" x14ac:dyDescent="0.25">
      <c r="B52" s="27"/>
      <c r="C52" s="208" t="s">
        <v>140</v>
      </c>
      <c r="D52" s="208"/>
      <c r="E52" s="208"/>
      <c r="F52" s="20"/>
      <c r="G52" s="20"/>
      <c r="H52" s="20"/>
      <c r="I52" s="209"/>
      <c r="J52" s="209"/>
    </row>
    <row r="53" spans="2:10" x14ac:dyDescent="0.25">
      <c r="B53" s="27"/>
      <c r="C53" s="28" t="s">
        <v>141</v>
      </c>
      <c r="D53" s="28" t="s">
        <v>142</v>
      </c>
      <c r="E53" s="28" t="s">
        <v>143</v>
      </c>
      <c r="F53" s="20"/>
      <c r="G53" s="20"/>
      <c r="H53" s="20"/>
      <c r="I53" s="209"/>
      <c r="J53" s="209"/>
    </row>
    <row r="54" spans="2:10" x14ac:dyDescent="0.25">
      <c r="B54" s="27"/>
      <c r="C54" s="33" t="s">
        <v>144</v>
      </c>
      <c r="D54" s="135">
        <v>1</v>
      </c>
      <c r="E54" s="135" t="s">
        <v>145</v>
      </c>
      <c r="F54" s="20"/>
      <c r="G54" s="20"/>
      <c r="H54" s="20"/>
      <c r="I54" s="209"/>
      <c r="J54" s="209"/>
    </row>
    <row r="55" spans="2:10" x14ac:dyDescent="0.25">
      <c r="B55" s="27"/>
      <c r="C55" s="33" t="s">
        <v>146</v>
      </c>
      <c r="D55" s="136">
        <v>2</v>
      </c>
      <c r="E55" s="136" t="s">
        <v>147</v>
      </c>
      <c r="F55" s="20"/>
      <c r="G55" s="20"/>
      <c r="H55" s="20"/>
      <c r="I55" s="209"/>
      <c r="J55" s="209"/>
    </row>
    <row r="56" spans="2:10" x14ac:dyDescent="0.25">
      <c r="B56" s="27"/>
      <c r="C56" s="33" t="s">
        <v>148</v>
      </c>
      <c r="D56" s="137">
        <v>3</v>
      </c>
      <c r="E56" s="137" t="s">
        <v>149</v>
      </c>
      <c r="F56" s="20"/>
      <c r="G56" s="20"/>
      <c r="H56" s="20"/>
      <c r="I56" s="209"/>
      <c r="J56" s="209"/>
    </row>
    <row r="57" spans="2:10" x14ac:dyDescent="0.25">
      <c r="B57" s="27"/>
      <c r="C57" s="33" t="s">
        <v>150</v>
      </c>
      <c r="D57" s="140">
        <v>4</v>
      </c>
      <c r="E57" s="140" t="s">
        <v>151</v>
      </c>
      <c r="F57" s="20"/>
      <c r="G57" s="20"/>
      <c r="H57" s="20"/>
      <c r="I57" s="209"/>
      <c r="J57" s="209"/>
    </row>
    <row r="58" spans="2:10" x14ac:dyDescent="0.25">
      <c r="B58" s="27"/>
      <c r="C58" s="33" t="s">
        <v>152</v>
      </c>
      <c r="D58" s="139">
        <v>5</v>
      </c>
      <c r="E58" s="139" t="s">
        <v>153</v>
      </c>
      <c r="F58" s="20"/>
      <c r="G58" s="20"/>
      <c r="H58" s="20"/>
      <c r="I58" s="209"/>
      <c r="J58" s="209"/>
    </row>
    <row r="59" spans="2:10" x14ac:dyDescent="0.25">
      <c r="B59" s="27"/>
      <c r="F59" s="20"/>
      <c r="G59" s="20"/>
      <c r="H59" s="20"/>
      <c r="I59" s="209"/>
      <c r="J59" s="209"/>
    </row>
    <row r="60" spans="2:10" x14ac:dyDescent="0.25">
      <c r="B60" s="27"/>
      <c r="C60" s="211" t="s">
        <v>154</v>
      </c>
      <c r="D60" s="212"/>
      <c r="E60" s="213"/>
      <c r="F60" s="20"/>
      <c r="G60" s="20"/>
      <c r="H60" s="20"/>
      <c r="I60" s="209"/>
      <c r="J60" s="209"/>
    </row>
    <row r="61" spans="2:10" x14ac:dyDescent="0.25">
      <c r="B61" s="27"/>
      <c r="C61" s="28" t="s">
        <v>155</v>
      </c>
      <c r="D61" s="28" t="s">
        <v>142</v>
      </c>
      <c r="E61" s="28" t="s">
        <v>143</v>
      </c>
      <c r="F61" s="20"/>
      <c r="G61" s="20"/>
      <c r="H61" s="20"/>
      <c r="I61" s="209"/>
      <c r="J61" s="209"/>
    </row>
    <row r="62" spans="2:10" ht="15" customHeight="1" x14ac:dyDescent="0.25">
      <c r="B62" s="27"/>
      <c r="C62" s="33" t="s">
        <v>156</v>
      </c>
      <c r="D62" s="135">
        <v>4</v>
      </c>
      <c r="E62" s="135" t="s">
        <v>69</v>
      </c>
      <c r="F62" s="20"/>
      <c r="G62" s="20"/>
      <c r="H62" s="20"/>
      <c r="I62" s="209"/>
      <c r="J62" s="209"/>
    </row>
    <row r="63" spans="2:10" ht="15" customHeight="1" x14ac:dyDescent="0.25">
      <c r="B63" s="21"/>
      <c r="C63" s="33" t="s">
        <v>157</v>
      </c>
      <c r="D63" s="136">
        <v>3</v>
      </c>
      <c r="E63" s="136" t="s">
        <v>76</v>
      </c>
      <c r="F63" s="20"/>
      <c r="G63" s="20"/>
      <c r="H63" s="20"/>
      <c r="I63" s="209"/>
      <c r="J63" s="209"/>
    </row>
    <row r="64" spans="2:10" ht="15" customHeight="1" x14ac:dyDescent="0.25">
      <c r="B64" s="21"/>
      <c r="C64" s="33" t="s">
        <v>158</v>
      </c>
      <c r="D64" s="137">
        <v>2</v>
      </c>
      <c r="E64" s="137" t="s">
        <v>78</v>
      </c>
      <c r="F64" s="20"/>
      <c r="G64" s="20"/>
      <c r="H64" s="20"/>
      <c r="I64" s="209"/>
      <c r="J64" s="209"/>
    </row>
    <row r="65" spans="3:10" ht="15" customHeight="1" x14ac:dyDescent="0.25">
      <c r="C65" s="138" t="s">
        <v>159</v>
      </c>
      <c r="D65" s="139">
        <v>1</v>
      </c>
      <c r="E65" s="139" t="s">
        <v>79</v>
      </c>
      <c r="F65" s="20"/>
      <c r="G65" s="20"/>
      <c r="H65" s="20"/>
      <c r="I65" s="209"/>
      <c r="J65" s="209"/>
    </row>
    <row r="66" spans="3:10" ht="15" customHeight="1" x14ac:dyDescent="0.25">
      <c r="C66" s="33">
        <v>0</v>
      </c>
      <c r="D66" s="33">
        <v>0</v>
      </c>
      <c r="E66" s="33" t="s">
        <v>80</v>
      </c>
      <c r="F66" s="20"/>
      <c r="G66" s="20"/>
      <c r="H66" s="20"/>
      <c r="I66" s="209"/>
      <c r="J66" s="209"/>
    </row>
  </sheetData>
  <autoFilter ref="B5:I49" xr:uid="{8F13DE6D-7449-4618-8799-6E9A98D4C3EF}"/>
  <mergeCells count="5">
    <mergeCell ref="I50:I66"/>
    <mergeCell ref="J50:J66"/>
    <mergeCell ref="B6:B49"/>
    <mergeCell ref="C52:E52"/>
    <mergeCell ref="C60:E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D97C-5053-434B-AC9B-8298E6A0E91B}">
  <dimension ref="A1:AF17"/>
  <sheetViews>
    <sheetView topLeftCell="A3" zoomScale="85" zoomScaleNormal="85" workbookViewId="0">
      <selection activeCell="P3" sqref="P3:R12"/>
    </sheetView>
  </sheetViews>
  <sheetFormatPr baseColWidth="10" defaultColWidth="11.42578125" defaultRowHeight="15" x14ac:dyDescent="0.25"/>
  <cols>
    <col min="1" max="1" width="4.7109375" customWidth="1"/>
    <col min="2" max="2" width="20.5703125" customWidth="1"/>
    <col min="3" max="3" width="17.28515625" customWidth="1"/>
    <col min="4" max="4" width="20.42578125" bestFit="1" customWidth="1"/>
    <col min="5" max="5" width="21.7109375" customWidth="1"/>
    <col min="6" max="6" width="26.5703125" customWidth="1"/>
    <col min="7" max="7" width="18" customWidth="1"/>
    <col min="8" max="8" width="14.42578125" customWidth="1"/>
    <col min="9" max="9" width="13.5703125" customWidth="1"/>
    <col min="10" max="10" width="16.42578125" customWidth="1"/>
    <col min="11" max="11" width="12.28515625" customWidth="1"/>
    <col min="12" max="12" width="16.28515625" customWidth="1"/>
    <col min="13" max="13" width="12.5703125" customWidth="1"/>
    <col min="14" max="14" width="15.42578125" customWidth="1"/>
    <col min="15" max="15" width="14.42578125" customWidth="1"/>
    <col min="16" max="18" width="15.42578125" customWidth="1"/>
    <col min="19" max="19" width="15.28515625" customWidth="1"/>
    <col min="20" max="20" width="18" customWidth="1"/>
    <col min="21" max="21" width="18.5703125" customWidth="1"/>
    <col min="22" max="22" width="17.42578125" customWidth="1"/>
    <col min="23" max="23" width="18.5703125" customWidth="1"/>
    <col min="24" max="24" width="16.42578125" customWidth="1"/>
    <col min="25" max="25" width="18.7109375" customWidth="1"/>
    <col min="26" max="26" width="16.42578125" customWidth="1"/>
    <col min="27" max="27" width="31.42578125" customWidth="1"/>
    <col min="28" max="28" width="21.5703125" customWidth="1"/>
    <col min="29" max="29" width="17" customWidth="1"/>
    <col min="30" max="30" width="19.7109375" customWidth="1"/>
    <col min="32" max="32" width="22.42578125" customWidth="1"/>
  </cols>
  <sheetData>
    <row r="1" spans="1:32" ht="45" customHeight="1" x14ac:dyDescent="0.25">
      <c r="A1" s="214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32" ht="78.75" customHeight="1" x14ac:dyDescent="0.25">
      <c r="A2" s="53"/>
      <c r="B2" s="53" t="s">
        <v>160</v>
      </c>
      <c r="C2" s="53" t="s">
        <v>161</v>
      </c>
      <c r="D2" s="53" t="s">
        <v>162</v>
      </c>
      <c r="E2" s="53" t="s">
        <v>163</v>
      </c>
      <c r="F2" s="53" t="s">
        <v>164</v>
      </c>
      <c r="G2" s="53" t="s">
        <v>165</v>
      </c>
      <c r="H2" s="53" t="s">
        <v>166</v>
      </c>
      <c r="I2" s="54" t="s">
        <v>167</v>
      </c>
      <c r="J2" s="53" t="s">
        <v>168</v>
      </c>
      <c r="K2" s="53" t="s">
        <v>169</v>
      </c>
      <c r="L2" s="53" t="s">
        <v>170</v>
      </c>
      <c r="M2" s="53" t="s">
        <v>171</v>
      </c>
      <c r="N2" s="53" t="s">
        <v>172</v>
      </c>
      <c r="O2" s="53" t="s">
        <v>173</v>
      </c>
      <c r="P2" s="55" t="s">
        <v>174</v>
      </c>
      <c r="Q2" s="55" t="s">
        <v>175</v>
      </c>
      <c r="R2" s="55" t="s">
        <v>176</v>
      </c>
      <c r="S2" s="53" t="s">
        <v>177</v>
      </c>
      <c r="T2" s="53" t="s">
        <v>178</v>
      </c>
      <c r="U2" s="56" t="s">
        <v>179</v>
      </c>
      <c r="V2" s="53" t="s">
        <v>180</v>
      </c>
      <c r="W2" s="56" t="s">
        <v>181</v>
      </c>
      <c r="X2" s="53" t="s">
        <v>182</v>
      </c>
      <c r="Y2" s="56" t="s">
        <v>183</v>
      </c>
      <c r="Z2" s="53" t="s">
        <v>184</v>
      </c>
      <c r="AA2" s="56" t="s">
        <v>185</v>
      </c>
      <c r="AB2" s="53" t="s">
        <v>186</v>
      </c>
      <c r="AC2" s="53" t="s">
        <v>187</v>
      </c>
      <c r="AD2" s="53" t="s">
        <v>188</v>
      </c>
      <c r="AE2" s="55" t="s">
        <v>189</v>
      </c>
      <c r="AF2" s="53" t="s">
        <v>190</v>
      </c>
    </row>
    <row r="3" spans="1:32" ht="60" x14ac:dyDescent="0.25">
      <c r="A3" s="39"/>
      <c r="B3" s="39">
        <v>1</v>
      </c>
      <c r="C3" s="39" t="s">
        <v>191</v>
      </c>
      <c r="D3" s="57">
        <f>(K3*P3*AC3)*AF3</f>
        <v>95652008.868564889</v>
      </c>
      <c r="E3" s="57">
        <f>(M3*Q3*AC3)*AF3</f>
        <v>53892597.271700889</v>
      </c>
      <c r="F3" s="57">
        <f>(O3*R3*AC3)*AF3</f>
        <v>22754530.374729998</v>
      </c>
      <c r="G3" s="58">
        <f>SUM(D3:F3)</f>
        <v>172299136.51499575</v>
      </c>
      <c r="H3" s="39" t="s">
        <v>192</v>
      </c>
      <c r="I3" s="39">
        <v>7</v>
      </c>
      <c r="J3" s="59" t="s">
        <v>122</v>
      </c>
      <c r="K3" s="39">
        <v>1</v>
      </c>
      <c r="L3" s="59" t="s">
        <v>110</v>
      </c>
      <c r="M3" s="39">
        <v>0.6</v>
      </c>
      <c r="N3" s="59" t="s">
        <v>193</v>
      </c>
      <c r="O3" s="39">
        <v>0.3</v>
      </c>
      <c r="P3" s="60">
        <f>EDANA!$F$77</f>
        <v>374.294603</v>
      </c>
      <c r="Q3" s="60">
        <f>EDANA!$F$83</f>
        <v>351.47734200000002</v>
      </c>
      <c r="R3" s="60">
        <f>EDANA!$F$87</f>
        <v>296.80149999999998</v>
      </c>
      <c r="S3" s="59">
        <f>SUM(P3:R3)</f>
        <v>1022.573445</v>
      </c>
      <c r="T3" s="59">
        <f>S3</f>
        <v>1022.573445</v>
      </c>
      <c r="U3" s="59"/>
      <c r="V3" s="39">
        <v>0.5</v>
      </c>
      <c r="W3" s="59"/>
      <c r="X3" s="39">
        <v>1</v>
      </c>
      <c r="Y3" s="59"/>
      <c r="Z3" s="39">
        <v>0.7</v>
      </c>
      <c r="AA3" s="39"/>
      <c r="AB3" s="39">
        <v>0</v>
      </c>
      <c r="AC3" s="39">
        <f t="shared" ref="AC3:AC12" si="0">AVERAGE(V3,X3,Z3)</f>
        <v>0.73333333333333339</v>
      </c>
      <c r="AD3" s="59" t="s">
        <v>194</v>
      </c>
      <c r="AE3" s="61">
        <v>49783</v>
      </c>
      <c r="AF3" s="57">
        <f>AE3*I3</f>
        <v>348481</v>
      </c>
    </row>
    <row r="4" spans="1:32" ht="120" x14ac:dyDescent="0.25">
      <c r="A4" s="39"/>
      <c r="B4" s="39">
        <v>2</v>
      </c>
      <c r="C4" s="39" t="s">
        <v>70</v>
      </c>
      <c r="D4" s="57">
        <f>(P4*10*K4)*$AE$4</f>
        <v>186335082.21149001</v>
      </c>
      <c r="E4" s="57">
        <f>(Q4*10*M4)*$AE$4</f>
        <v>104985579.10071602</v>
      </c>
      <c r="F4" s="57">
        <f>(R4*10*O4)*$AE$4</f>
        <v>44327007.223499998</v>
      </c>
      <c r="G4" s="58">
        <f>SUM(D4:F4)</f>
        <v>335647668.53570604</v>
      </c>
      <c r="H4" s="39" t="s">
        <v>195</v>
      </c>
      <c r="I4" s="39">
        <f>2*1000</f>
        <v>2000</v>
      </c>
      <c r="J4" s="59" t="s">
        <v>122</v>
      </c>
      <c r="K4" s="39">
        <v>1</v>
      </c>
      <c r="L4" s="59" t="s">
        <v>110</v>
      </c>
      <c r="M4" s="39">
        <v>0.6</v>
      </c>
      <c r="N4" s="59" t="s">
        <v>193</v>
      </c>
      <c r="O4" s="39">
        <v>0.3</v>
      </c>
      <c r="P4" s="60">
        <f>EDANA!$F$77</f>
        <v>374.294603</v>
      </c>
      <c r="Q4" s="60">
        <f>EDANA!$F$83</f>
        <v>351.47734200000002</v>
      </c>
      <c r="R4" s="60">
        <f>EDANA!$F$87</f>
        <v>296.80149999999998</v>
      </c>
      <c r="S4" s="59">
        <f t="shared" ref="S4:S12" si="1">SUM(P4:R4)</f>
        <v>1022.573445</v>
      </c>
      <c r="T4" s="59">
        <f t="shared" ref="T4:T12" si="2">S4</f>
        <v>1022.573445</v>
      </c>
      <c r="U4" s="59"/>
      <c r="V4" s="39">
        <v>0.5</v>
      </c>
      <c r="W4" s="59"/>
      <c r="X4" s="39">
        <v>1</v>
      </c>
      <c r="Y4" s="59"/>
      <c r="Z4" s="39">
        <v>0.7</v>
      </c>
      <c r="AA4" s="39"/>
      <c r="AB4" s="39">
        <v>0</v>
      </c>
      <c r="AC4" s="39">
        <f t="shared" si="0"/>
        <v>0.73333333333333339</v>
      </c>
      <c r="AD4" s="59" t="s">
        <v>194</v>
      </c>
      <c r="AE4" s="61">
        <v>49783</v>
      </c>
      <c r="AF4" s="57">
        <f>AE4*I4</f>
        <v>99566000</v>
      </c>
    </row>
    <row r="5" spans="1:32" ht="60" x14ac:dyDescent="0.25">
      <c r="A5" s="39"/>
      <c r="B5" s="39">
        <v>3</v>
      </c>
      <c r="C5" s="39" t="s">
        <v>74</v>
      </c>
      <c r="D5" s="57">
        <f>(P5*10*K5)*$AE$5</f>
        <v>186335082.21149001</v>
      </c>
      <c r="E5" s="57">
        <f>(Q5*10*M5)*$AE$5</f>
        <v>104985579.10071602</v>
      </c>
      <c r="F5" s="57">
        <f>(R5*10*O5)*$AE$5</f>
        <v>44327007.223499998</v>
      </c>
      <c r="G5" s="58">
        <f t="shared" ref="G5:G12" si="3">SUM(D5:F5)</f>
        <v>335647668.53570604</v>
      </c>
      <c r="H5" s="39" t="s">
        <v>196</v>
      </c>
      <c r="I5" s="39">
        <v>0.33300000000000002</v>
      </c>
      <c r="J5" s="59" t="s">
        <v>122</v>
      </c>
      <c r="K5" s="39">
        <v>1</v>
      </c>
      <c r="L5" s="59" t="s">
        <v>110</v>
      </c>
      <c r="M5" s="39">
        <v>0.6</v>
      </c>
      <c r="N5" s="59" t="s">
        <v>193</v>
      </c>
      <c r="O5" s="39">
        <v>0.3</v>
      </c>
      <c r="P5" s="60">
        <f>EDANA!$F$77</f>
        <v>374.294603</v>
      </c>
      <c r="Q5" s="60">
        <f>EDANA!$F$83</f>
        <v>351.47734200000002</v>
      </c>
      <c r="R5" s="60">
        <f>EDANA!$F$87</f>
        <v>296.80149999999998</v>
      </c>
      <c r="S5" s="59">
        <f t="shared" si="1"/>
        <v>1022.573445</v>
      </c>
      <c r="T5" s="59">
        <f t="shared" si="2"/>
        <v>1022.573445</v>
      </c>
      <c r="U5" s="59"/>
      <c r="V5" s="39">
        <v>0.5</v>
      </c>
      <c r="W5" s="59"/>
      <c r="X5" s="39">
        <v>1</v>
      </c>
      <c r="Y5" s="59"/>
      <c r="Z5" s="39">
        <v>0.7</v>
      </c>
      <c r="AA5" s="39"/>
      <c r="AB5" s="39">
        <v>0</v>
      </c>
      <c r="AC5" s="39">
        <f t="shared" si="0"/>
        <v>0.73333333333333339</v>
      </c>
      <c r="AD5" s="59" t="s">
        <v>194</v>
      </c>
      <c r="AE5" s="61">
        <v>49783</v>
      </c>
      <c r="AF5" s="57">
        <f>AE5*I5</f>
        <v>16577.739000000001</v>
      </c>
    </row>
    <row r="6" spans="1:32" ht="75" x14ac:dyDescent="0.25">
      <c r="A6" s="39"/>
      <c r="B6" s="39">
        <v>4</v>
      </c>
      <c r="C6" s="39" t="s">
        <v>197</v>
      </c>
      <c r="D6" s="59">
        <f>$AE$6*(P6/$S$6)</f>
        <v>249999.8558528967</v>
      </c>
      <c r="E6" s="57">
        <f>$AE$6*(Q6/$S$6)</f>
        <v>234759.68964361286</v>
      </c>
      <c r="F6" s="57">
        <f>$AE$6*(R6/$S$6)</f>
        <v>198240.45450349044</v>
      </c>
      <c r="G6" s="58">
        <f t="shared" si="3"/>
        <v>683000</v>
      </c>
      <c r="H6" s="59" t="s">
        <v>198</v>
      </c>
      <c r="I6" s="39">
        <v>6</v>
      </c>
      <c r="J6" s="59" t="s">
        <v>122</v>
      </c>
      <c r="K6" s="39">
        <v>1</v>
      </c>
      <c r="L6" s="59" t="s">
        <v>110</v>
      </c>
      <c r="M6" s="39">
        <v>0.6</v>
      </c>
      <c r="N6" s="59" t="s">
        <v>193</v>
      </c>
      <c r="O6" s="39">
        <v>0.3</v>
      </c>
      <c r="P6" s="60">
        <f>EDANA!$F$77</f>
        <v>374.294603</v>
      </c>
      <c r="Q6" s="60">
        <f>EDANA!$F$83</f>
        <v>351.47734200000002</v>
      </c>
      <c r="R6" s="60">
        <f>EDANA!$F$87</f>
        <v>296.80149999999998</v>
      </c>
      <c r="S6" s="59">
        <f t="shared" si="1"/>
        <v>1022.573445</v>
      </c>
      <c r="T6" s="59">
        <f t="shared" si="2"/>
        <v>1022.573445</v>
      </c>
      <c r="U6" s="59"/>
      <c r="V6" s="39">
        <v>0.5</v>
      </c>
      <c r="W6" s="59"/>
      <c r="X6" s="39">
        <v>1</v>
      </c>
      <c r="Y6" s="59"/>
      <c r="Z6" s="39">
        <v>0.7</v>
      </c>
      <c r="AA6" s="39"/>
      <c r="AB6" s="39">
        <v>0</v>
      </c>
      <c r="AC6" s="39">
        <f t="shared" si="0"/>
        <v>0.73333333333333339</v>
      </c>
      <c r="AD6" s="59" t="s">
        <v>199</v>
      </c>
      <c r="AE6" s="61">
        <v>683000</v>
      </c>
      <c r="AF6" s="57">
        <f>AE6*I6</f>
        <v>4098000</v>
      </c>
    </row>
    <row r="7" spans="1:32" ht="75" x14ac:dyDescent="0.25">
      <c r="A7" s="39"/>
      <c r="B7" s="39">
        <v>5</v>
      </c>
      <c r="C7" s="39" t="s">
        <v>200</v>
      </c>
      <c r="D7" s="57">
        <f>$AE$7*(P7/$S$7)</f>
        <v>249999.8558528967</v>
      </c>
      <c r="E7" s="57">
        <f>$AE$7*(Q7/$S$7)</f>
        <v>234759.68964361286</v>
      </c>
      <c r="F7" s="57">
        <f>$AE$7*(R7/$S$7)</f>
        <v>198240.45450349044</v>
      </c>
      <c r="G7" s="58">
        <f t="shared" si="3"/>
        <v>683000</v>
      </c>
      <c r="H7" s="59" t="s">
        <v>198</v>
      </c>
      <c r="I7" s="39">
        <v>0</v>
      </c>
      <c r="J7" s="59" t="s">
        <v>122</v>
      </c>
      <c r="K7" s="39">
        <v>2</v>
      </c>
      <c r="L7" s="59" t="s">
        <v>110</v>
      </c>
      <c r="M7" s="39">
        <v>1.6</v>
      </c>
      <c r="N7" s="59" t="s">
        <v>193</v>
      </c>
      <c r="O7" s="39">
        <v>0.3</v>
      </c>
      <c r="P7" s="60">
        <f>EDANA!$F$77</f>
        <v>374.294603</v>
      </c>
      <c r="Q7" s="60">
        <f>EDANA!$F$83</f>
        <v>351.47734200000002</v>
      </c>
      <c r="R7" s="60">
        <f>EDANA!$F$87</f>
        <v>296.80149999999998</v>
      </c>
      <c r="S7" s="59">
        <f>SUM(P7:R7)</f>
        <v>1022.573445</v>
      </c>
      <c r="T7" s="59">
        <f t="shared" si="2"/>
        <v>1022.573445</v>
      </c>
      <c r="U7" s="59"/>
      <c r="V7" s="39">
        <v>1</v>
      </c>
      <c r="W7" s="59"/>
      <c r="X7" s="39">
        <v>1</v>
      </c>
      <c r="Y7" s="59"/>
      <c r="Z7" s="39">
        <v>1</v>
      </c>
      <c r="AA7" s="39"/>
      <c r="AB7" s="39">
        <v>1</v>
      </c>
      <c r="AC7" s="39">
        <f t="shared" si="0"/>
        <v>1</v>
      </c>
      <c r="AD7" s="59" t="s">
        <v>199</v>
      </c>
      <c r="AE7" s="61">
        <v>683000</v>
      </c>
      <c r="AF7" s="57">
        <f>AE7*I7</f>
        <v>0</v>
      </c>
    </row>
    <row r="8" spans="1:32" ht="30" x14ac:dyDescent="0.25">
      <c r="A8" s="39"/>
      <c r="B8" s="39">
        <v>6</v>
      </c>
      <c r="C8" s="39" t="s">
        <v>72</v>
      </c>
      <c r="D8" s="58">
        <f>($AE$8*P8)*K6</f>
        <v>2081977796.905612</v>
      </c>
      <c r="E8" s="58">
        <f>($AE$8*Q8)*M6</f>
        <v>1173035383.8301008</v>
      </c>
      <c r="F8" s="58">
        <f>($AE$8*R8)*O6</f>
        <v>495278955.24179989</v>
      </c>
      <c r="G8" s="58">
        <f t="shared" si="3"/>
        <v>3750292135.9775128</v>
      </c>
      <c r="H8" s="39" t="s">
        <v>201</v>
      </c>
      <c r="I8" s="39">
        <v>1</v>
      </c>
      <c r="J8" s="59" t="s">
        <v>122</v>
      </c>
      <c r="K8" s="39">
        <v>1</v>
      </c>
      <c r="L8" s="59" t="s">
        <v>110</v>
      </c>
      <c r="M8" s="39">
        <v>0.6</v>
      </c>
      <c r="N8" s="59" t="s">
        <v>193</v>
      </c>
      <c r="O8" s="39">
        <v>0.3</v>
      </c>
      <c r="P8" s="60">
        <f>EDANA!$F$77</f>
        <v>374.294603</v>
      </c>
      <c r="Q8" s="60">
        <f>EDANA!$F$83</f>
        <v>351.47734200000002</v>
      </c>
      <c r="R8" s="60">
        <f>EDANA!$F$87</f>
        <v>296.80149999999998</v>
      </c>
      <c r="S8" s="59">
        <f t="shared" si="1"/>
        <v>1022.573445</v>
      </c>
      <c r="T8" s="59">
        <f t="shared" si="2"/>
        <v>1022.573445</v>
      </c>
      <c r="U8" s="59"/>
      <c r="V8" s="39">
        <v>0.5</v>
      </c>
      <c r="W8" s="59"/>
      <c r="X8" s="39">
        <v>1</v>
      </c>
      <c r="Y8" s="59"/>
      <c r="Z8" s="39">
        <v>0.7</v>
      </c>
      <c r="AA8" s="39"/>
      <c r="AB8" s="39">
        <v>0</v>
      </c>
      <c r="AC8" s="39">
        <f t="shared" si="0"/>
        <v>0.73333333333333339</v>
      </c>
      <c r="AD8" s="59" t="s">
        <v>202</v>
      </c>
      <c r="AE8" s="61">
        <v>5562404</v>
      </c>
      <c r="AF8" s="57">
        <f>(AE8*I8)</f>
        <v>5562404</v>
      </c>
    </row>
    <row r="9" spans="1:32" ht="30" x14ac:dyDescent="0.25">
      <c r="B9" s="39">
        <v>7</v>
      </c>
      <c r="C9" s="39" t="s">
        <v>73</v>
      </c>
      <c r="D9" s="62">
        <f>AF9*(P9/$S$9)</f>
        <v>475841.59972000838</v>
      </c>
      <c r="E9" s="62">
        <f>AF9*(Q9/$S$9)</f>
        <v>446833.96271844319</v>
      </c>
      <c r="F9" s="62">
        <f>AF9*(R9/$S$9)</f>
        <v>377324.43756154843</v>
      </c>
      <c r="G9" s="58">
        <f t="shared" si="3"/>
        <v>1300000</v>
      </c>
      <c r="H9" s="39" t="s">
        <v>203</v>
      </c>
      <c r="I9" s="39">
        <v>1</v>
      </c>
      <c r="J9" s="59" t="s">
        <v>122</v>
      </c>
      <c r="K9" s="39">
        <v>1</v>
      </c>
      <c r="L9" s="59" t="s">
        <v>110</v>
      </c>
      <c r="M9" s="39">
        <v>0.6</v>
      </c>
      <c r="N9" s="59" t="s">
        <v>193</v>
      </c>
      <c r="O9" s="39">
        <v>0.3</v>
      </c>
      <c r="P9" s="60">
        <f>EDANA!$F$77</f>
        <v>374.294603</v>
      </c>
      <c r="Q9" s="60">
        <f>EDANA!$F$83</f>
        <v>351.47734200000002</v>
      </c>
      <c r="R9" s="60">
        <f>EDANA!$F$87</f>
        <v>296.80149999999998</v>
      </c>
      <c r="S9" s="59">
        <f t="shared" si="1"/>
        <v>1022.573445</v>
      </c>
      <c r="T9" s="59"/>
      <c r="U9" s="59"/>
      <c r="V9" s="39">
        <v>0.5</v>
      </c>
      <c r="W9" s="59"/>
      <c r="X9" s="39">
        <v>1</v>
      </c>
      <c r="Y9" s="59"/>
      <c r="Z9" s="39">
        <v>0.7</v>
      </c>
      <c r="AA9" s="39"/>
      <c r="AB9" s="39">
        <v>0</v>
      </c>
      <c r="AC9" s="39">
        <f t="shared" si="0"/>
        <v>0.73333333333333339</v>
      </c>
      <c r="AD9" s="59" t="s">
        <v>204</v>
      </c>
      <c r="AE9" s="61">
        <v>1300000</v>
      </c>
      <c r="AF9" s="57">
        <f>AE9*I9</f>
        <v>1300000</v>
      </c>
    </row>
    <row r="10" spans="1:32" ht="30" x14ac:dyDescent="0.25">
      <c r="B10" s="39">
        <v>8</v>
      </c>
      <c r="C10" s="39" t="s">
        <v>205</v>
      </c>
      <c r="D10" s="62">
        <f>P10*AF10</f>
        <v>6295635.2224599998</v>
      </c>
      <c r="E10" s="62">
        <f>Q10*AF10</f>
        <v>5911848.8924400005</v>
      </c>
      <c r="F10" s="62">
        <f>R10*AF10</f>
        <v>4992201.2299999995</v>
      </c>
      <c r="G10" s="58">
        <f t="shared" si="3"/>
        <v>17199685.344900001</v>
      </c>
      <c r="H10" s="39" t="s">
        <v>201</v>
      </c>
      <c r="I10" s="39">
        <v>1</v>
      </c>
      <c r="J10" s="59" t="s">
        <v>122</v>
      </c>
      <c r="K10" s="39">
        <v>1</v>
      </c>
      <c r="L10" s="59" t="s">
        <v>110</v>
      </c>
      <c r="M10" s="39">
        <v>0.6</v>
      </c>
      <c r="N10" s="59" t="s">
        <v>193</v>
      </c>
      <c r="O10" s="39">
        <v>0.3</v>
      </c>
      <c r="P10" s="60">
        <f>EDANA!$F$77</f>
        <v>374.294603</v>
      </c>
      <c r="Q10" s="60">
        <f>EDANA!$F$83</f>
        <v>351.47734200000002</v>
      </c>
      <c r="R10" s="60">
        <f>EDANA!$F$87</f>
        <v>296.80149999999998</v>
      </c>
      <c r="S10" s="59">
        <f t="shared" si="1"/>
        <v>1022.573445</v>
      </c>
      <c r="T10" s="59">
        <f t="shared" si="2"/>
        <v>1022.573445</v>
      </c>
      <c r="U10" s="59"/>
      <c r="V10" s="39">
        <v>0.5</v>
      </c>
      <c r="W10" s="59"/>
      <c r="X10" s="39">
        <v>1</v>
      </c>
      <c r="Y10" s="59"/>
      <c r="Z10" s="39">
        <v>0.7</v>
      </c>
      <c r="AA10" s="39"/>
      <c r="AB10" s="39">
        <v>0</v>
      </c>
      <c r="AC10" s="39">
        <f t="shared" si="0"/>
        <v>0.73333333333333339</v>
      </c>
      <c r="AD10" s="59" t="s">
        <v>206</v>
      </c>
      <c r="AE10" s="61">
        <v>1682000</v>
      </c>
      <c r="AF10" s="57">
        <f>AE10/100</f>
        <v>16820</v>
      </c>
    </row>
    <row r="11" spans="1:32" ht="45" x14ac:dyDescent="0.25">
      <c r="B11" s="39">
        <v>9</v>
      </c>
      <c r="C11" s="39" t="s">
        <v>207</v>
      </c>
      <c r="D11" s="62">
        <f>$AE$11*(P11/$S$11)</f>
        <v>549047.9996769327</v>
      </c>
      <c r="E11" s="62">
        <f>$AE$11*(Q11/$S$11)</f>
        <v>515577.64929051138</v>
      </c>
      <c r="F11" s="62">
        <f>$AE$11*(R11/$S$11)</f>
        <v>435374.35103255592</v>
      </c>
      <c r="G11" s="58">
        <f t="shared" si="3"/>
        <v>1500000</v>
      </c>
      <c r="H11" s="39" t="s">
        <v>208</v>
      </c>
      <c r="I11" s="39">
        <v>1</v>
      </c>
      <c r="J11" s="59" t="s">
        <v>122</v>
      </c>
      <c r="K11" s="39">
        <v>1</v>
      </c>
      <c r="L11" s="59" t="s">
        <v>110</v>
      </c>
      <c r="M11" s="39">
        <v>0.6</v>
      </c>
      <c r="N11" s="59" t="s">
        <v>193</v>
      </c>
      <c r="O11" s="39">
        <v>0.3</v>
      </c>
      <c r="P11" s="60">
        <f>EDANA!$F$77</f>
        <v>374.294603</v>
      </c>
      <c r="Q11" s="60">
        <f>EDANA!$F$83</f>
        <v>351.47734200000002</v>
      </c>
      <c r="R11" s="60">
        <f>EDANA!$F$87</f>
        <v>296.80149999999998</v>
      </c>
      <c r="S11" s="59">
        <f t="shared" si="1"/>
        <v>1022.573445</v>
      </c>
      <c r="T11" s="59">
        <f t="shared" si="2"/>
        <v>1022.573445</v>
      </c>
      <c r="U11" s="59"/>
      <c r="V11" s="39">
        <v>0.5</v>
      </c>
      <c r="W11" s="59"/>
      <c r="X11" s="39">
        <v>1</v>
      </c>
      <c r="Y11" s="59"/>
      <c r="Z11" s="39">
        <v>0.7</v>
      </c>
      <c r="AA11" s="39"/>
      <c r="AB11" s="39">
        <v>0</v>
      </c>
      <c r="AC11" s="39">
        <f t="shared" si="0"/>
        <v>0.73333333333333339</v>
      </c>
      <c r="AD11" s="59" t="s">
        <v>209</v>
      </c>
      <c r="AE11" s="61">
        <v>1500000</v>
      </c>
      <c r="AF11" s="57">
        <f>AE11*I11</f>
        <v>1500000</v>
      </c>
    </row>
    <row r="12" spans="1:32" ht="45" x14ac:dyDescent="0.25">
      <c r="B12" s="39">
        <v>10</v>
      </c>
      <c r="C12" s="39" t="s">
        <v>210</v>
      </c>
      <c r="D12" s="62">
        <f>($AF$12*P12)*K12</f>
        <v>355579872.85000002</v>
      </c>
      <c r="E12" s="62">
        <f>($AF$12*Q12)*M12</f>
        <v>200342084.94000003</v>
      </c>
      <c r="F12" s="62">
        <f>($AF$12*R12)*O12</f>
        <v>84588427.5</v>
      </c>
      <c r="G12" s="58">
        <f t="shared" si="3"/>
        <v>640510385.29000008</v>
      </c>
      <c r="H12" s="39" t="s">
        <v>201</v>
      </c>
      <c r="I12" s="39">
        <v>1</v>
      </c>
      <c r="J12" s="59" t="s">
        <v>122</v>
      </c>
      <c r="K12" s="39">
        <v>1</v>
      </c>
      <c r="L12" s="59" t="s">
        <v>110</v>
      </c>
      <c r="M12" s="39">
        <v>0.6</v>
      </c>
      <c r="N12" s="59" t="s">
        <v>193</v>
      </c>
      <c r="O12" s="39">
        <v>0.3</v>
      </c>
      <c r="P12" s="60">
        <f>EDANA!$F$77</f>
        <v>374.294603</v>
      </c>
      <c r="Q12" s="60">
        <f>EDANA!$F$83</f>
        <v>351.47734200000002</v>
      </c>
      <c r="R12" s="60">
        <f>EDANA!$F$87</f>
        <v>296.80149999999998</v>
      </c>
      <c r="S12" s="59">
        <f t="shared" si="1"/>
        <v>1022.573445</v>
      </c>
      <c r="T12" s="59">
        <f t="shared" si="2"/>
        <v>1022.573445</v>
      </c>
      <c r="U12" s="59"/>
      <c r="V12" s="39">
        <v>0.5</v>
      </c>
      <c r="W12" s="59"/>
      <c r="X12" s="39">
        <v>1</v>
      </c>
      <c r="Y12" s="59"/>
      <c r="Z12" s="39">
        <v>0.7</v>
      </c>
      <c r="AA12" s="39"/>
      <c r="AB12" s="39">
        <v>0</v>
      </c>
      <c r="AC12" s="39">
        <f t="shared" si="0"/>
        <v>0.73333333333333339</v>
      </c>
      <c r="AD12" s="59" t="s">
        <v>211</v>
      </c>
      <c r="AE12" s="61">
        <v>9500</v>
      </c>
      <c r="AF12" s="57">
        <f>AE12*100</f>
        <v>950000</v>
      </c>
    </row>
    <row r="13" spans="1:32" x14ac:dyDescent="0.25">
      <c r="B13" s="63" t="s">
        <v>212</v>
      </c>
      <c r="C13" s="64">
        <f>SUM(G3:G12)</f>
        <v>5255762680.1988211</v>
      </c>
    </row>
    <row r="17" spans="2:2" x14ac:dyDescent="0.25">
      <c r="B17" s="65"/>
    </row>
  </sheetData>
  <mergeCells count="1">
    <mergeCell ref="A1:Z1"/>
  </mergeCells>
  <dataValidations count="1">
    <dataValidation type="list" allowBlank="1" showInputMessage="1" showErrorMessage="1" sqref="J3:J12 N3:N12 L3:L12" xr:uid="{6264D9D8-0DFA-4866-A715-5519A5454C18}">
      <formula1>"Alta, Media, Baja"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86E7-90DB-4029-ABD1-E238097484CF}">
  <dimension ref="A1:AF17"/>
  <sheetViews>
    <sheetView topLeftCell="A2" zoomScale="85" zoomScaleNormal="85" workbookViewId="0">
      <selection activeCell="R3" sqref="R3"/>
    </sheetView>
  </sheetViews>
  <sheetFormatPr baseColWidth="10" defaultColWidth="11.42578125" defaultRowHeight="15" x14ac:dyDescent="0.25"/>
  <cols>
    <col min="1" max="1" width="4.7109375" customWidth="1"/>
    <col min="2" max="2" width="20.5703125" customWidth="1"/>
    <col min="3" max="3" width="17.28515625" customWidth="1"/>
    <col min="4" max="4" width="20.42578125" bestFit="1" customWidth="1"/>
    <col min="5" max="5" width="21.7109375" customWidth="1"/>
    <col min="6" max="6" width="26.5703125" customWidth="1"/>
    <col min="7" max="7" width="18" customWidth="1"/>
    <col min="8" max="8" width="14.42578125" customWidth="1"/>
    <col min="9" max="9" width="13.5703125" customWidth="1"/>
    <col min="10" max="10" width="16.42578125" customWidth="1"/>
    <col min="11" max="11" width="12.28515625" customWidth="1"/>
    <col min="12" max="12" width="16.28515625" customWidth="1"/>
    <col min="13" max="13" width="12.5703125" customWidth="1"/>
    <col min="14" max="14" width="15.42578125" customWidth="1"/>
    <col min="15" max="15" width="14.42578125" customWidth="1"/>
    <col min="16" max="18" width="15.42578125" customWidth="1"/>
    <col min="19" max="19" width="15.28515625" customWidth="1"/>
    <col min="20" max="20" width="18" customWidth="1"/>
    <col min="21" max="21" width="18.5703125" customWidth="1"/>
    <col min="22" max="22" width="17.42578125" customWidth="1"/>
    <col min="23" max="23" width="18.5703125" customWidth="1"/>
    <col min="24" max="24" width="16.42578125" customWidth="1"/>
    <col min="25" max="25" width="18.7109375" customWidth="1"/>
    <col min="26" max="26" width="16.42578125" customWidth="1"/>
    <col min="27" max="27" width="31.42578125" customWidth="1"/>
    <col min="28" max="28" width="21.5703125" customWidth="1"/>
    <col min="29" max="29" width="17" customWidth="1"/>
    <col min="30" max="30" width="19.7109375" customWidth="1"/>
    <col min="32" max="32" width="22.42578125" customWidth="1"/>
  </cols>
  <sheetData>
    <row r="1" spans="1:32" ht="45" customHeight="1" x14ac:dyDescent="0.25">
      <c r="A1" s="214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32" ht="78.75" customHeight="1" x14ac:dyDescent="0.25">
      <c r="A2" s="53"/>
      <c r="B2" s="53" t="s">
        <v>160</v>
      </c>
      <c r="C2" s="53" t="s">
        <v>161</v>
      </c>
      <c r="D2" s="53" t="s">
        <v>162</v>
      </c>
      <c r="E2" s="53" t="s">
        <v>163</v>
      </c>
      <c r="F2" s="53" t="s">
        <v>164</v>
      </c>
      <c r="G2" s="53" t="s">
        <v>165</v>
      </c>
      <c r="H2" s="53" t="s">
        <v>166</v>
      </c>
      <c r="I2" s="54" t="s">
        <v>167</v>
      </c>
      <c r="J2" s="53" t="s">
        <v>168</v>
      </c>
      <c r="K2" s="53" t="s">
        <v>169</v>
      </c>
      <c r="L2" s="53" t="s">
        <v>170</v>
      </c>
      <c r="M2" s="53" t="s">
        <v>171</v>
      </c>
      <c r="N2" s="53" t="s">
        <v>172</v>
      </c>
      <c r="O2" s="53" t="s">
        <v>173</v>
      </c>
      <c r="P2" s="55" t="s">
        <v>174</v>
      </c>
      <c r="Q2" s="55" t="s">
        <v>175</v>
      </c>
      <c r="R2" s="55" t="s">
        <v>176</v>
      </c>
      <c r="S2" s="53" t="s">
        <v>177</v>
      </c>
      <c r="T2" s="53" t="s">
        <v>178</v>
      </c>
      <c r="U2" s="56" t="s">
        <v>179</v>
      </c>
      <c r="V2" s="53" t="s">
        <v>180</v>
      </c>
      <c r="W2" s="56" t="s">
        <v>181</v>
      </c>
      <c r="X2" s="53" t="s">
        <v>182</v>
      </c>
      <c r="Y2" s="56" t="s">
        <v>183</v>
      </c>
      <c r="Z2" s="53" t="s">
        <v>184</v>
      </c>
      <c r="AA2" s="56" t="s">
        <v>185</v>
      </c>
      <c r="AB2" s="53" t="s">
        <v>186</v>
      </c>
      <c r="AC2" s="53" t="s">
        <v>187</v>
      </c>
      <c r="AD2" s="53" t="s">
        <v>188</v>
      </c>
      <c r="AE2" s="55" t="s">
        <v>189</v>
      </c>
      <c r="AF2" s="53" t="s">
        <v>190</v>
      </c>
    </row>
    <row r="3" spans="1:32" ht="60" x14ac:dyDescent="0.25">
      <c r="A3" s="39"/>
      <c r="B3" s="39">
        <v>1</v>
      </c>
      <c r="C3" s="39" t="s">
        <v>191</v>
      </c>
      <c r="D3" s="57">
        <f>(K3*P3*AC3)*AF3</f>
        <v>0</v>
      </c>
      <c r="E3" s="57">
        <f>(M3*Q3*AC3)*AF3</f>
        <v>0</v>
      </c>
      <c r="F3" s="57">
        <f>(O3*R3*AC3)*AF3</f>
        <v>0</v>
      </c>
      <c r="G3" s="58">
        <f>SUM(D3:F3)</f>
        <v>0</v>
      </c>
      <c r="H3" s="39" t="s">
        <v>192</v>
      </c>
      <c r="I3" s="39">
        <v>7</v>
      </c>
      <c r="J3" s="59" t="s">
        <v>122</v>
      </c>
      <c r="K3" s="39">
        <v>1</v>
      </c>
      <c r="L3" s="59" t="s">
        <v>110</v>
      </c>
      <c r="M3" s="39">
        <v>0.6</v>
      </c>
      <c r="N3" s="59" t="s">
        <v>193</v>
      </c>
      <c r="O3" s="39">
        <v>0.3</v>
      </c>
      <c r="P3" s="60">
        <f>EDANA!$F$100</f>
        <v>0</v>
      </c>
      <c r="Q3" s="60">
        <f>EDANA!$F$105</f>
        <v>0</v>
      </c>
      <c r="R3" s="60">
        <f>EDANA!$F$109</f>
        <v>0</v>
      </c>
      <c r="S3" s="59">
        <f>SUM(P3:R3)</f>
        <v>0</v>
      </c>
      <c r="T3" s="59">
        <f>S3</f>
        <v>0</v>
      </c>
      <c r="U3" s="59"/>
      <c r="V3" s="39">
        <v>0.5</v>
      </c>
      <c r="W3" s="59"/>
      <c r="X3" s="39">
        <v>1</v>
      </c>
      <c r="Y3" s="59"/>
      <c r="Z3" s="39">
        <v>0.7</v>
      </c>
      <c r="AA3" s="39"/>
      <c r="AB3" s="39">
        <v>0</v>
      </c>
      <c r="AC3" s="39">
        <f t="shared" ref="AC3:AC12" si="0">AVERAGE(V3,X3,Z3)</f>
        <v>0.73333333333333339</v>
      </c>
      <c r="AD3" s="59" t="s">
        <v>194</v>
      </c>
      <c r="AE3" s="61">
        <v>49783</v>
      </c>
      <c r="AF3" s="57">
        <f>AE3*I3</f>
        <v>348481</v>
      </c>
    </row>
    <row r="4" spans="1:32" ht="120" x14ac:dyDescent="0.25">
      <c r="A4" s="39"/>
      <c r="B4" s="39">
        <v>2</v>
      </c>
      <c r="C4" s="39" t="s">
        <v>70</v>
      </c>
      <c r="D4" s="57">
        <f>(P4*10*K4)*$AE$4</f>
        <v>0</v>
      </c>
      <c r="E4" s="57">
        <f>(Q4*10*M4)*$AE$4</f>
        <v>0</v>
      </c>
      <c r="F4" s="57">
        <f>(R4*10*O4)*$AE$4</f>
        <v>0</v>
      </c>
      <c r="G4" s="58">
        <f>SUM(D4:F4)</f>
        <v>0</v>
      </c>
      <c r="H4" s="39" t="s">
        <v>195</v>
      </c>
      <c r="I4" s="39">
        <f>2*1000</f>
        <v>2000</v>
      </c>
      <c r="J4" s="59" t="s">
        <v>122</v>
      </c>
      <c r="K4" s="39">
        <v>1</v>
      </c>
      <c r="L4" s="59" t="s">
        <v>110</v>
      </c>
      <c r="M4" s="39">
        <v>0.6</v>
      </c>
      <c r="N4" s="59" t="s">
        <v>193</v>
      </c>
      <c r="O4" s="39">
        <v>0.3</v>
      </c>
      <c r="P4" s="60">
        <f>EDANA!$F$100</f>
        <v>0</v>
      </c>
      <c r="Q4" s="60">
        <f>EDANA!$F$105</f>
        <v>0</v>
      </c>
      <c r="R4" s="60">
        <f>EDANA!$F$109</f>
        <v>0</v>
      </c>
      <c r="S4" s="59">
        <f t="shared" ref="S4:S12" si="1">SUM(P4:R4)</f>
        <v>0</v>
      </c>
      <c r="T4" s="59">
        <f t="shared" ref="T4:T12" si="2">S4</f>
        <v>0</v>
      </c>
      <c r="U4" s="59"/>
      <c r="V4" s="39">
        <v>0.5</v>
      </c>
      <c r="W4" s="59"/>
      <c r="X4" s="39">
        <v>1</v>
      </c>
      <c r="Y4" s="59"/>
      <c r="Z4" s="39">
        <v>0.7</v>
      </c>
      <c r="AA4" s="39"/>
      <c r="AB4" s="39">
        <v>0</v>
      </c>
      <c r="AC4" s="39">
        <f t="shared" si="0"/>
        <v>0.73333333333333339</v>
      </c>
      <c r="AD4" s="59" t="s">
        <v>194</v>
      </c>
      <c r="AE4" s="61">
        <v>49783</v>
      </c>
      <c r="AF4" s="57">
        <f>AE4*I4</f>
        <v>99566000</v>
      </c>
    </row>
    <row r="5" spans="1:32" ht="60" x14ac:dyDescent="0.25">
      <c r="A5" s="39"/>
      <c r="B5" s="39">
        <v>3</v>
      </c>
      <c r="C5" s="39" t="s">
        <v>74</v>
      </c>
      <c r="D5" s="57">
        <f>(P5*10*K5)*$AE$5</f>
        <v>0</v>
      </c>
      <c r="E5" s="57">
        <f>(Q5*10*M5)*$AE$5</f>
        <v>0</v>
      </c>
      <c r="F5" s="57">
        <f>(R5*10*O5)*$AE$5</f>
        <v>0</v>
      </c>
      <c r="G5" s="58">
        <f t="shared" ref="G5:G12" si="3">SUM(D5:F5)</f>
        <v>0</v>
      </c>
      <c r="H5" s="39" t="s">
        <v>196</v>
      </c>
      <c r="I5" s="39">
        <v>0.33300000000000002</v>
      </c>
      <c r="J5" s="59" t="s">
        <v>122</v>
      </c>
      <c r="K5" s="39">
        <v>1</v>
      </c>
      <c r="L5" s="59" t="s">
        <v>110</v>
      </c>
      <c r="M5" s="39">
        <v>0.6</v>
      </c>
      <c r="N5" s="59" t="s">
        <v>193</v>
      </c>
      <c r="O5" s="39">
        <v>0.3</v>
      </c>
      <c r="P5" s="60">
        <f>EDANA!$F$100</f>
        <v>0</v>
      </c>
      <c r="Q5" s="60">
        <f>EDANA!$F$105</f>
        <v>0</v>
      </c>
      <c r="R5" s="60">
        <f>EDANA!$F$109</f>
        <v>0</v>
      </c>
      <c r="S5" s="59">
        <f t="shared" si="1"/>
        <v>0</v>
      </c>
      <c r="T5" s="59">
        <f t="shared" si="2"/>
        <v>0</v>
      </c>
      <c r="U5" s="59"/>
      <c r="V5" s="39">
        <v>0.5</v>
      </c>
      <c r="W5" s="59"/>
      <c r="X5" s="39">
        <v>1</v>
      </c>
      <c r="Y5" s="59"/>
      <c r="Z5" s="39">
        <v>0.7</v>
      </c>
      <c r="AA5" s="39"/>
      <c r="AB5" s="39">
        <v>0</v>
      </c>
      <c r="AC5" s="39">
        <f t="shared" si="0"/>
        <v>0.73333333333333339</v>
      </c>
      <c r="AD5" s="59" t="s">
        <v>194</v>
      </c>
      <c r="AE5" s="61">
        <v>49783</v>
      </c>
      <c r="AF5" s="57">
        <f>AE5*I5</f>
        <v>16577.739000000001</v>
      </c>
    </row>
    <row r="6" spans="1:32" ht="75" x14ac:dyDescent="0.25">
      <c r="A6" s="39"/>
      <c r="B6" s="39">
        <v>4</v>
      </c>
      <c r="C6" s="39" t="s">
        <v>197</v>
      </c>
      <c r="D6" s="59" t="e">
        <f>$AE$6*(P6/$S$6)</f>
        <v>#DIV/0!</v>
      </c>
      <c r="E6" s="57" t="e">
        <f>$AE$6*(Q6/$S$6)</f>
        <v>#DIV/0!</v>
      </c>
      <c r="F6" s="57" t="e">
        <f>$AE$6*(R6/$S$6)</f>
        <v>#DIV/0!</v>
      </c>
      <c r="G6" s="58" t="e">
        <f t="shared" si="3"/>
        <v>#DIV/0!</v>
      </c>
      <c r="H6" s="59" t="s">
        <v>198</v>
      </c>
      <c r="I6" s="39">
        <v>6</v>
      </c>
      <c r="J6" s="59" t="s">
        <v>122</v>
      </c>
      <c r="K6" s="39">
        <v>1</v>
      </c>
      <c r="L6" s="59" t="s">
        <v>110</v>
      </c>
      <c r="M6" s="39">
        <v>0.6</v>
      </c>
      <c r="N6" s="59" t="s">
        <v>193</v>
      </c>
      <c r="O6" s="39">
        <v>0.3</v>
      </c>
      <c r="P6" s="60">
        <f>EDANA!$F$100</f>
        <v>0</v>
      </c>
      <c r="Q6" s="60">
        <f>EDANA!$F$105</f>
        <v>0</v>
      </c>
      <c r="R6" s="60">
        <f>EDANA!$F$109</f>
        <v>0</v>
      </c>
      <c r="S6" s="59">
        <f t="shared" si="1"/>
        <v>0</v>
      </c>
      <c r="T6" s="59">
        <f t="shared" si="2"/>
        <v>0</v>
      </c>
      <c r="U6" s="59"/>
      <c r="V6" s="39">
        <v>0.5</v>
      </c>
      <c r="W6" s="59"/>
      <c r="X6" s="39">
        <v>1</v>
      </c>
      <c r="Y6" s="59"/>
      <c r="Z6" s="39">
        <v>0.7</v>
      </c>
      <c r="AA6" s="39"/>
      <c r="AB6" s="39">
        <v>0</v>
      </c>
      <c r="AC6" s="39">
        <f t="shared" si="0"/>
        <v>0.73333333333333339</v>
      </c>
      <c r="AD6" s="59" t="s">
        <v>199</v>
      </c>
      <c r="AE6" s="61">
        <v>683000</v>
      </c>
      <c r="AF6" s="57">
        <f>AE6*I6</f>
        <v>4098000</v>
      </c>
    </row>
    <row r="7" spans="1:32" ht="75" x14ac:dyDescent="0.25">
      <c r="A7" s="39"/>
      <c r="B7" s="39">
        <v>5</v>
      </c>
      <c r="C7" s="39" t="s">
        <v>200</v>
      </c>
      <c r="D7" s="57" t="e">
        <f>$AE$7*(P7/$S$7)</f>
        <v>#DIV/0!</v>
      </c>
      <c r="E7" s="57" t="e">
        <f>$AE$7*(Q7/$S$7)</f>
        <v>#DIV/0!</v>
      </c>
      <c r="F7" s="57" t="e">
        <f>$AE$7*(R7/$S$7)</f>
        <v>#DIV/0!</v>
      </c>
      <c r="G7" s="58" t="e">
        <f t="shared" si="3"/>
        <v>#DIV/0!</v>
      </c>
      <c r="H7" s="59" t="s">
        <v>198</v>
      </c>
      <c r="I7" s="39">
        <v>0</v>
      </c>
      <c r="J7" s="59" t="s">
        <v>122</v>
      </c>
      <c r="K7" s="39">
        <v>2</v>
      </c>
      <c r="L7" s="59" t="s">
        <v>110</v>
      </c>
      <c r="M7" s="39">
        <v>1.6</v>
      </c>
      <c r="N7" s="59" t="s">
        <v>193</v>
      </c>
      <c r="O7" s="39">
        <v>0.3</v>
      </c>
      <c r="P7" s="60">
        <f>EDANA!$F$100</f>
        <v>0</v>
      </c>
      <c r="Q7" s="60">
        <f>EDANA!$F$105</f>
        <v>0</v>
      </c>
      <c r="R7" s="60">
        <f>EDANA!$F$109</f>
        <v>0</v>
      </c>
      <c r="S7" s="59">
        <f>SUM(P7:R7)</f>
        <v>0</v>
      </c>
      <c r="T7" s="59">
        <f t="shared" si="2"/>
        <v>0</v>
      </c>
      <c r="U7" s="59"/>
      <c r="V7" s="39">
        <v>1</v>
      </c>
      <c r="W7" s="59"/>
      <c r="X7" s="39">
        <v>1</v>
      </c>
      <c r="Y7" s="59"/>
      <c r="Z7" s="39">
        <v>1</v>
      </c>
      <c r="AA7" s="39"/>
      <c r="AB7" s="39">
        <v>1</v>
      </c>
      <c r="AC7" s="39">
        <f t="shared" si="0"/>
        <v>1</v>
      </c>
      <c r="AD7" s="59" t="s">
        <v>199</v>
      </c>
      <c r="AE7" s="61">
        <v>683000</v>
      </c>
      <c r="AF7" s="57">
        <f>AE7*I7</f>
        <v>0</v>
      </c>
    </row>
    <row r="8" spans="1:32" ht="30" x14ac:dyDescent="0.25">
      <c r="A8" s="39"/>
      <c r="B8" s="39">
        <v>6</v>
      </c>
      <c r="C8" s="39" t="s">
        <v>72</v>
      </c>
      <c r="D8" s="58">
        <f>($AE$8*P8)*K6</f>
        <v>0</v>
      </c>
      <c r="E8" s="58">
        <f>($AE$8*Q8)*M6</f>
        <v>0</v>
      </c>
      <c r="F8" s="58">
        <f>($AE$8*R8)*O6</f>
        <v>0</v>
      </c>
      <c r="G8" s="58">
        <f t="shared" si="3"/>
        <v>0</v>
      </c>
      <c r="H8" s="39" t="s">
        <v>201</v>
      </c>
      <c r="I8" s="39">
        <v>1</v>
      </c>
      <c r="J8" s="59" t="s">
        <v>122</v>
      </c>
      <c r="K8" s="39">
        <v>1</v>
      </c>
      <c r="L8" s="59" t="s">
        <v>110</v>
      </c>
      <c r="M8" s="39">
        <v>0.6</v>
      </c>
      <c r="N8" s="59" t="s">
        <v>193</v>
      </c>
      <c r="O8" s="39">
        <v>0.3</v>
      </c>
      <c r="P8" s="60">
        <f>EDANA!$F$100</f>
        <v>0</v>
      </c>
      <c r="Q8" s="60">
        <f>EDANA!$F$105</f>
        <v>0</v>
      </c>
      <c r="R8" s="60">
        <f>EDANA!$F$109</f>
        <v>0</v>
      </c>
      <c r="S8" s="59">
        <f t="shared" si="1"/>
        <v>0</v>
      </c>
      <c r="T8" s="59">
        <f t="shared" si="2"/>
        <v>0</v>
      </c>
      <c r="U8" s="59"/>
      <c r="V8" s="39">
        <v>0.5</v>
      </c>
      <c r="W8" s="59"/>
      <c r="X8" s="39">
        <v>1</v>
      </c>
      <c r="Y8" s="59"/>
      <c r="Z8" s="39">
        <v>0.7</v>
      </c>
      <c r="AA8" s="39"/>
      <c r="AB8" s="39">
        <v>0</v>
      </c>
      <c r="AC8" s="39">
        <f t="shared" si="0"/>
        <v>0.73333333333333339</v>
      </c>
      <c r="AD8" s="59" t="s">
        <v>202</v>
      </c>
      <c r="AE8" s="61">
        <v>5562404</v>
      </c>
      <c r="AF8" s="57">
        <f>(AE8*I8)</f>
        <v>5562404</v>
      </c>
    </row>
    <row r="9" spans="1:32" ht="30" x14ac:dyDescent="0.25">
      <c r="B9" s="39">
        <v>7</v>
      </c>
      <c r="C9" s="39" t="s">
        <v>73</v>
      </c>
      <c r="D9" s="62" t="e">
        <f>AF9*(P9/$S$9)</f>
        <v>#DIV/0!</v>
      </c>
      <c r="E9" s="62" t="e">
        <f>AF9*(Q9/$S$9)</f>
        <v>#DIV/0!</v>
      </c>
      <c r="F9" s="62" t="e">
        <f>AF9*(R9/$S$9)</f>
        <v>#DIV/0!</v>
      </c>
      <c r="G9" s="58" t="e">
        <f t="shared" si="3"/>
        <v>#DIV/0!</v>
      </c>
      <c r="H9" s="39" t="s">
        <v>203</v>
      </c>
      <c r="I9" s="39">
        <v>1</v>
      </c>
      <c r="J9" s="59" t="s">
        <v>122</v>
      </c>
      <c r="K9" s="39">
        <v>1</v>
      </c>
      <c r="L9" s="59" t="s">
        <v>110</v>
      </c>
      <c r="M9" s="39">
        <v>0.6</v>
      </c>
      <c r="N9" s="59" t="s">
        <v>193</v>
      </c>
      <c r="O9" s="39">
        <v>0.3</v>
      </c>
      <c r="P9" s="60">
        <f>EDANA!$F$100</f>
        <v>0</v>
      </c>
      <c r="Q9" s="60">
        <f>EDANA!$F$105</f>
        <v>0</v>
      </c>
      <c r="R9" s="60">
        <f>EDANA!$F$109</f>
        <v>0</v>
      </c>
      <c r="S9" s="59">
        <f t="shared" si="1"/>
        <v>0</v>
      </c>
      <c r="T9" s="59"/>
      <c r="U9" s="59"/>
      <c r="V9" s="39">
        <v>0.5</v>
      </c>
      <c r="W9" s="59"/>
      <c r="X9" s="39">
        <v>1</v>
      </c>
      <c r="Y9" s="59"/>
      <c r="Z9" s="39">
        <v>0.7</v>
      </c>
      <c r="AA9" s="39"/>
      <c r="AB9" s="39">
        <v>0</v>
      </c>
      <c r="AC9" s="39">
        <f t="shared" si="0"/>
        <v>0.73333333333333339</v>
      </c>
      <c r="AD9" s="59" t="s">
        <v>204</v>
      </c>
      <c r="AE9" s="61">
        <v>1300000</v>
      </c>
      <c r="AF9" s="57">
        <f>AE9*I9</f>
        <v>1300000</v>
      </c>
    </row>
    <row r="10" spans="1:32" ht="30" x14ac:dyDescent="0.25">
      <c r="B10" s="39">
        <v>8</v>
      </c>
      <c r="C10" s="39" t="s">
        <v>205</v>
      </c>
      <c r="D10" s="62">
        <f>P10*AF10</f>
        <v>0</v>
      </c>
      <c r="E10" s="62">
        <f>Q10*AF10</f>
        <v>0</v>
      </c>
      <c r="F10" s="62">
        <f>R10*AF10</f>
        <v>0</v>
      </c>
      <c r="G10" s="58">
        <f t="shared" si="3"/>
        <v>0</v>
      </c>
      <c r="H10" s="39" t="s">
        <v>201</v>
      </c>
      <c r="I10" s="39">
        <v>1</v>
      </c>
      <c r="J10" s="59" t="s">
        <v>122</v>
      </c>
      <c r="K10" s="39">
        <v>1</v>
      </c>
      <c r="L10" s="59" t="s">
        <v>110</v>
      </c>
      <c r="M10" s="39">
        <v>0.6</v>
      </c>
      <c r="N10" s="59" t="s">
        <v>193</v>
      </c>
      <c r="O10" s="39">
        <v>0.3</v>
      </c>
      <c r="P10" s="60">
        <f>EDANA!$F$100</f>
        <v>0</v>
      </c>
      <c r="Q10" s="60">
        <f>EDANA!$F$105</f>
        <v>0</v>
      </c>
      <c r="R10" s="60">
        <f>EDANA!$F$109</f>
        <v>0</v>
      </c>
      <c r="S10" s="59">
        <f t="shared" si="1"/>
        <v>0</v>
      </c>
      <c r="T10" s="59">
        <f t="shared" si="2"/>
        <v>0</v>
      </c>
      <c r="U10" s="59"/>
      <c r="V10" s="39">
        <v>0.5</v>
      </c>
      <c r="W10" s="59"/>
      <c r="X10" s="39">
        <v>1</v>
      </c>
      <c r="Y10" s="59"/>
      <c r="Z10" s="39">
        <v>0.7</v>
      </c>
      <c r="AA10" s="39"/>
      <c r="AB10" s="39">
        <v>0</v>
      </c>
      <c r="AC10" s="39">
        <f t="shared" si="0"/>
        <v>0.73333333333333339</v>
      </c>
      <c r="AD10" s="59" t="s">
        <v>206</v>
      </c>
      <c r="AE10" s="61">
        <v>1682000</v>
      </c>
      <c r="AF10" s="57">
        <f>AE10/100</f>
        <v>16820</v>
      </c>
    </row>
    <row r="11" spans="1:32" ht="45" x14ac:dyDescent="0.25">
      <c r="B11" s="39">
        <v>9</v>
      </c>
      <c r="C11" s="39" t="s">
        <v>207</v>
      </c>
      <c r="D11" s="62" t="e">
        <f>$AE$11*(P11/$S$11)</f>
        <v>#DIV/0!</v>
      </c>
      <c r="E11" s="62" t="e">
        <f>$AE$11*(Q11/$S$11)</f>
        <v>#DIV/0!</v>
      </c>
      <c r="F11" s="62" t="e">
        <f>$AE$11*(R11/$S$11)</f>
        <v>#DIV/0!</v>
      </c>
      <c r="G11" s="58" t="e">
        <f t="shared" si="3"/>
        <v>#DIV/0!</v>
      </c>
      <c r="H11" s="39" t="s">
        <v>208</v>
      </c>
      <c r="I11" s="39">
        <v>1</v>
      </c>
      <c r="J11" s="59" t="s">
        <v>122</v>
      </c>
      <c r="K11" s="39">
        <v>1</v>
      </c>
      <c r="L11" s="59" t="s">
        <v>110</v>
      </c>
      <c r="M11" s="39">
        <v>0.6</v>
      </c>
      <c r="N11" s="59" t="s">
        <v>193</v>
      </c>
      <c r="O11" s="39">
        <v>0.3</v>
      </c>
      <c r="P11" s="60">
        <f>EDANA!$F$100</f>
        <v>0</v>
      </c>
      <c r="Q11" s="60">
        <f>EDANA!$F$105</f>
        <v>0</v>
      </c>
      <c r="R11" s="60">
        <f>EDANA!$F$109</f>
        <v>0</v>
      </c>
      <c r="S11" s="59">
        <f t="shared" si="1"/>
        <v>0</v>
      </c>
      <c r="T11" s="59">
        <f t="shared" si="2"/>
        <v>0</v>
      </c>
      <c r="U11" s="59"/>
      <c r="V11" s="39">
        <v>0.5</v>
      </c>
      <c r="W11" s="59"/>
      <c r="X11" s="39">
        <v>1</v>
      </c>
      <c r="Y11" s="59"/>
      <c r="Z11" s="39">
        <v>0.7</v>
      </c>
      <c r="AA11" s="39"/>
      <c r="AB11" s="39">
        <v>0</v>
      </c>
      <c r="AC11" s="39">
        <f t="shared" si="0"/>
        <v>0.73333333333333339</v>
      </c>
      <c r="AD11" s="59" t="s">
        <v>209</v>
      </c>
      <c r="AE11" s="61">
        <v>1500000</v>
      </c>
      <c r="AF11" s="57">
        <f>AE11*I11</f>
        <v>1500000</v>
      </c>
    </row>
    <row r="12" spans="1:32" ht="45" x14ac:dyDescent="0.25">
      <c r="B12" s="39">
        <v>10</v>
      </c>
      <c r="C12" s="39" t="s">
        <v>210</v>
      </c>
      <c r="D12" s="62">
        <f>($AF$12*P12)*K12</f>
        <v>0</v>
      </c>
      <c r="E12" s="62">
        <f>($AF$12*Q12)*M12</f>
        <v>0</v>
      </c>
      <c r="F12" s="62">
        <f>($AF$12*R12)*O12</f>
        <v>0</v>
      </c>
      <c r="G12" s="58">
        <f t="shared" si="3"/>
        <v>0</v>
      </c>
      <c r="H12" s="39" t="s">
        <v>201</v>
      </c>
      <c r="I12" s="39">
        <v>1</v>
      </c>
      <c r="J12" s="59" t="s">
        <v>122</v>
      </c>
      <c r="K12" s="39">
        <v>1</v>
      </c>
      <c r="L12" s="59" t="s">
        <v>110</v>
      </c>
      <c r="M12" s="39">
        <v>0.6</v>
      </c>
      <c r="N12" s="59" t="s">
        <v>193</v>
      </c>
      <c r="O12" s="39">
        <v>0.3</v>
      </c>
      <c r="P12" s="60">
        <f>EDANA!$F$100</f>
        <v>0</v>
      </c>
      <c r="Q12" s="60">
        <f>EDANA!$F$105</f>
        <v>0</v>
      </c>
      <c r="R12" s="60">
        <f>EDANA!$F$109</f>
        <v>0</v>
      </c>
      <c r="S12" s="59">
        <f t="shared" si="1"/>
        <v>0</v>
      </c>
      <c r="T12" s="59">
        <f t="shared" si="2"/>
        <v>0</v>
      </c>
      <c r="U12" s="59"/>
      <c r="V12" s="39">
        <v>0.5</v>
      </c>
      <c r="W12" s="59"/>
      <c r="X12" s="39">
        <v>1</v>
      </c>
      <c r="Y12" s="59"/>
      <c r="Z12" s="39">
        <v>0.7</v>
      </c>
      <c r="AA12" s="39"/>
      <c r="AB12" s="39">
        <v>0</v>
      </c>
      <c r="AC12" s="39">
        <f t="shared" si="0"/>
        <v>0.73333333333333339</v>
      </c>
      <c r="AD12" s="59" t="s">
        <v>211</v>
      </c>
      <c r="AE12" s="61">
        <v>9500</v>
      </c>
      <c r="AF12" s="57">
        <f>AE12*100</f>
        <v>950000</v>
      </c>
    </row>
    <row r="13" spans="1:32" x14ac:dyDescent="0.25">
      <c r="B13" s="63" t="s">
        <v>212</v>
      </c>
      <c r="C13" s="64" t="e">
        <f>SUM(G3:G12)</f>
        <v>#DIV/0!</v>
      </c>
    </row>
    <row r="17" spans="2:2" x14ac:dyDescent="0.25">
      <c r="B17" s="65"/>
    </row>
  </sheetData>
  <mergeCells count="1">
    <mergeCell ref="A1:Z1"/>
  </mergeCells>
  <dataValidations disablePrompts="1" count="1">
    <dataValidation type="list" allowBlank="1" showInputMessage="1" showErrorMessage="1" sqref="J3:J12 N3:N12 L3:L12" xr:uid="{0CA39B8E-13C7-425F-9BF7-A03684353B4C}">
      <formula1>"Alta, Media, Baja"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3DC-2CC7-4E7C-8DB5-636C724143D7}">
  <dimension ref="A1:H120"/>
  <sheetViews>
    <sheetView topLeftCell="A6" zoomScale="85" zoomScaleNormal="85" workbookViewId="0">
      <selection activeCell="F13" sqref="F13"/>
    </sheetView>
  </sheetViews>
  <sheetFormatPr baseColWidth="10" defaultColWidth="11.42578125" defaultRowHeight="15" x14ac:dyDescent="0.25"/>
  <cols>
    <col min="1" max="1" width="20.42578125" customWidth="1"/>
    <col min="2" max="2" width="20.7109375" bestFit="1" customWidth="1"/>
    <col min="3" max="3" width="23" customWidth="1"/>
    <col min="4" max="4" width="24.7109375" customWidth="1"/>
    <col min="5" max="5" width="18.7109375" customWidth="1"/>
  </cols>
  <sheetData>
    <row r="1" spans="1:8" ht="45.75" thickBot="1" x14ac:dyDescent="0.3">
      <c r="A1" s="66" t="s">
        <v>213</v>
      </c>
      <c r="B1" s="66" t="s">
        <v>214</v>
      </c>
      <c r="C1" s="67" t="s">
        <v>215</v>
      </c>
      <c r="D1" s="66" t="s">
        <v>216</v>
      </c>
      <c r="E1" s="68" t="s">
        <v>215</v>
      </c>
      <c r="G1" s="69" t="s">
        <v>217</v>
      </c>
      <c r="H1" s="70" t="s">
        <v>218</v>
      </c>
    </row>
    <row r="2" spans="1:8" ht="32.25" customHeight="1" thickBot="1" x14ac:dyDescent="0.3">
      <c r="A2" s="216" t="s">
        <v>219</v>
      </c>
      <c r="B2" s="216" t="s">
        <v>220</v>
      </c>
      <c r="C2" s="219">
        <v>1</v>
      </c>
      <c r="D2" s="59" t="s">
        <v>221</v>
      </c>
      <c r="E2" s="33">
        <v>1</v>
      </c>
      <c r="G2" s="71" t="s">
        <v>122</v>
      </c>
      <c r="H2" s="72">
        <v>1</v>
      </c>
    </row>
    <row r="3" spans="1:8" ht="30.75" thickBot="1" x14ac:dyDescent="0.3">
      <c r="A3" s="217"/>
      <c r="B3" s="217"/>
      <c r="C3" s="220"/>
      <c r="D3" s="59" t="s">
        <v>222</v>
      </c>
      <c r="E3" s="33">
        <v>1</v>
      </c>
      <c r="G3" s="73" t="s">
        <v>110</v>
      </c>
      <c r="H3" s="72">
        <v>0.6</v>
      </c>
    </row>
    <row r="4" spans="1:8" ht="30.75" thickBot="1" x14ac:dyDescent="0.3">
      <c r="A4" s="217"/>
      <c r="B4" s="218"/>
      <c r="C4" s="221"/>
      <c r="D4" s="59" t="s">
        <v>223</v>
      </c>
      <c r="E4" s="33">
        <v>1</v>
      </c>
      <c r="G4" s="74" t="s">
        <v>193</v>
      </c>
      <c r="H4" s="72">
        <v>0.3</v>
      </c>
    </row>
    <row r="5" spans="1:8" ht="34.5" customHeight="1" x14ac:dyDescent="0.25">
      <c r="A5" s="217"/>
      <c r="B5" s="216" t="s">
        <v>224</v>
      </c>
      <c r="C5" s="219">
        <v>1</v>
      </c>
      <c r="D5" s="75" t="s">
        <v>225</v>
      </c>
      <c r="E5" s="33">
        <v>1</v>
      </c>
      <c r="G5" s="21"/>
    </row>
    <row r="6" spans="1:8" ht="45" x14ac:dyDescent="0.25">
      <c r="A6" s="217"/>
      <c r="B6" s="217"/>
      <c r="C6" s="220"/>
      <c r="D6" s="59" t="s">
        <v>226</v>
      </c>
      <c r="E6" s="33">
        <v>1</v>
      </c>
      <c r="G6" s="21"/>
    </row>
    <row r="7" spans="1:8" x14ac:dyDescent="0.25">
      <c r="A7" s="217"/>
      <c r="B7" s="217"/>
      <c r="C7" s="220"/>
      <c r="D7" s="59" t="s">
        <v>227</v>
      </c>
      <c r="E7" s="33">
        <v>1</v>
      </c>
      <c r="G7" s="21"/>
    </row>
    <row r="8" spans="1:8" x14ac:dyDescent="0.25">
      <c r="A8" s="217"/>
      <c r="B8" s="217"/>
      <c r="C8" s="220"/>
      <c r="D8" s="59" t="s">
        <v>228</v>
      </c>
      <c r="E8" s="33">
        <v>1</v>
      </c>
      <c r="G8" s="21"/>
    </row>
    <row r="9" spans="1:8" x14ac:dyDescent="0.25">
      <c r="A9" s="217"/>
      <c r="B9" s="218"/>
      <c r="C9" s="221"/>
      <c r="D9" s="59" t="s">
        <v>229</v>
      </c>
      <c r="E9" s="33">
        <v>1</v>
      </c>
      <c r="G9" s="21"/>
    </row>
    <row r="10" spans="1:8" ht="30" customHeight="1" x14ac:dyDescent="0.25">
      <c r="A10" s="217"/>
      <c r="B10" s="216" t="s">
        <v>230</v>
      </c>
      <c r="C10" s="219">
        <v>0.2</v>
      </c>
      <c r="D10" s="59" t="s">
        <v>231</v>
      </c>
      <c r="E10" s="33">
        <v>0.2</v>
      </c>
      <c r="G10" s="21"/>
    </row>
    <row r="11" spans="1:8" ht="30" x14ac:dyDescent="0.25">
      <c r="A11" s="217"/>
      <c r="B11" s="217"/>
      <c r="C11" s="220"/>
      <c r="D11" s="59" t="s">
        <v>232</v>
      </c>
      <c r="E11" s="33">
        <v>0.2</v>
      </c>
    </row>
    <row r="12" spans="1:8" ht="30" x14ac:dyDescent="0.25">
      <c r="A12" s="217"/>
      <c r="B12" s="218"/>
      <c r="C12" s="221"/>
      <c r="D12" s="59" t="s">
        <v>233</v>
      </c>
      <c r="E12" s="33">
        <v>0.2</v>
      </c>
      <c r="G12" s="21"/>
    </row>
    <row r="13" spans="1:8" ht="30" customHeight="1" x14ac:dyDescent="0.25">
      <c r="A13" s="217"/>
      <c r="B13" s="216" t="s">
        <v>234</v>
      </c>
      <c r="C13" s="216">
        <v>0.4</v>
      </c>
      <c r="D13" s="59" t="s">
        <v>235</v>
      </c>
      <c r="E13" s="33">
        <v>0.4</v>
      </c>
      <c r="G13" s="21"/>
    </row>
    <row r="14" spans="1:8" ht="30" x14ac:dyDescent="0.25">
      <c r="A14" s="218"/>
      <c r="B14" s="218"/>
      <c r="C14" s="218"/>
      <c r="D14" s="59" t="s">
        <v>236</v>
      </c>
      <c r="E14" s="33">
        <v>0.4</v>
      </c>
    </row>
    <row r="15" spans="1:8" ht="30" x14ac:dyDescent="0.25">
      <c r="A15" s="216" t="s">
        <v>237</v>
      </c>
      <c r="B15" s="216" t="s">
        <v>238</v>
      </c>
      <c r="C15" s="216">
        <v>0.5</v>
      </c>
      <c r="D15" s="59" t="s">
        <v>239</v>
      </c>
      <c r="E15" s="33">
        <v>0.5</v>
      </c>
      <c r="G15" s="21"/>
    </row>
    <row r="16" spans="1:8" x14ac:dyDescent="0.25">
      <c r="A16" s="217"/>
      <c r="B16" s="217"/>
      <c r="C16" s="217"/>
      <c r="D16" s="59" t="s">
        <v>240</v>
      </c>
      <c r="E16" s="33">
        <v>0.5</v>
      </c>
      <c r="G16" s="21"/>
    </row>
    <row r="17" spans="1:7" ht="30" x14ac:dyDescent="0.25">
      <c r="A17" s="217"/>
      <c r="B17" s="217"/>
      <c r="C17" s="217"/>
      <c r="D17" s="59" t="s">
        <v>241</v>
      </c>
      <c r="E17" s="33">
        <v>0.5</v>
      </c>
      <c r="G17" s="21"/>
    </row>
    <row r="18" spans="1:7" x14ac:dyDescent="0.25">
      <c r="A18" s="217"/>
      <c r="B18" s="217"/>
      <c r="C18" s="217"/>
      <c r="D18" s="59" t="s">
        <v>242</v>
      </c>
      <c r="E18" s="33">
        <v>0.5</v>
      </c>
      <c r="G18" s="21"/>
    </row>
    <row r="19" spans="1:7" x14ac:dyDescent="0.25">
      <c r="A19" s="217"/>
      <c r="B19" s="218"/>
      <c r="C19" s="218"/>
      <c r="D19" s="59" t="s">
        <v>243</v>
      </c>
      <c r="E19" s="33">
        <v>0.5</v>
      </c>
      <c r="G19" s="21"/>
    </row>
    <row r="20" spans="1:7" ht="30" x14ac:dyDescent="0.25">
      <c r="A20" s="217"/>
      <c r="B20" s="216" t="s">
        <v>244</v>
      </c>
      <c r="C20" s="216">
        <v>0.5</v>
      </c>
      <c r="D20" s="59" t="s">
        <v>245</v>
      </c>
      <c r="E20" s="33">
        <v>0.5</v>
      </c>
      <c r="G20" s="21"/>
    </row>
    <row r="21" spans="1:7" ht="30" x14ac:dyDescent="0.25">
      <c r="A21" s="217"/>
      <c r="B21" s="217"/>
      <c r="C21" s="217"/>
      <c r="D21" s="59" t="s">
        <v>246</v>
      </c>
      <c r="E21" s="33">
        <v>0.5</v>
      </c>
    </row>
    <row r="22" spans="1:7" ht="30" x14ac:dyDescent="0.25">
      <c r="A22" s="217"/>
      <c r="B22" s="217"/>
      <c r="C22" s="217"/>
      <c r="D22" s="59" t="s">
        <v>247</v>
      </c>
      <c r="E22" s="33">
        <v>0.5</v>
      </c>
    </row>
    <row r="23" spans="1:7" ht="30" x14ac:dyDescent="0.25">
      <c r="A23" s="217"/>
      <c r="B23" s="217"/>
      <c r="C23" s="217"/>
      <c r="D23" s="59" t="s">
        <v>248</v>
      </c>
      <c r="E23" s="33">
        <v>0.5</v>
      </c>
    </row>
    <row r="24" spans="1:7" ht="30" x14ac:dyDescent="0.25">
      <c r="A24" s="217"/>
      <c r="B24" s="218"/>
      <c r="C24" s="218"/>
      <c r="D24" s="59" t="s">
        <v>249</v>
      </c>
      <c r="E24" s="33">
        <v>0.5</v>
      </c>
      <c r="G24" s="21"/>
    </row>
    <row r="25" spans="1:7" x14ac:dyDescent="0.25">
      <c r="A25" s="217"/>
      <c r="B25" s="216" t="s">
        <v>250</v>
      </c>
      <c r="C25" s="216">
        <v>0.4</v>
      </c>
      <c r="D25" s="59" t="s">
        <v>251</v>
      </c>
      <c r="E25" s="33">
        <v>0.4</v>
      </c>
    </row>
    <row r="26" spans="1:7" x14ac:dyDescent="0.25">
      <c r="A26" s="217"/>
      <c r="B26" s="217"/>
      <c r="C26" s="217"/>
      <c r="D26" s="59" t="s">
        <v>252</v>
      </c>
      <c r="E26" s="33">
        <v>0.4</v>
      </c>
    </row>
    <row r="27" spans="1:7" x14ac:dyDescent="0.25">
      <c r="A27" s="217"/>
      <c r="B27" s="218"/>
      <c r="C27" s="218"/>
      <c r="D27" s="59" t="s">
        <v>253</v>
      </c>
      <c r="E27" s="33">
        <v>0.4</v>
      </c>
    </row>
    <row r="28" spans="1:7" ht="15" customHeight="1" x14ac:dyDescent="0.25">
      <c r="A28" s="217"/>
      <c r="B28" s="216" t="s">
        <v>254</v>
      </c>
      <c r="C28" s="216">
        <v>0.5</v>
      </c>
      <c r="D28" s="59" t="s">
        <v>255</v>
      </c>
      <c r="E28" s="33">
        <v>0.5</v>
      </c>
      <c r="G28" s="21"/>
    </row>
    <row r="29" spans="1:7" ht="30" x14ac:dyDescent="0.25">
      <c r="A29" s="217"/>
      <c r="B29" s="217"/>
      <c r="C29" s="217"/>
      <c r="D29" s="59" t="s">
        <v>256</v>
      </c>
      <c r="E29" s="33">
        <v>0.5</v>
      </c>
      <c r="G29" s="21"/>
    </row>
    <row r="30" spans="1:7" ht="31.5" customHeight="1" x14ac:dyDescent="0.25">
      <c r="A30" s="217"/>
      <c r="B30" s="217"/>
      <c r="C30" s="217"/>
      <c r="D30" s="59" t="s">
        <v>257</v>
      </c>
      <c r="E30" s="33">
        <v>0.5</v>
      </c>
      <c r="G30" s="21"/>
    </row>
    <row r="31" spans="1:7" ht="31.5" customHeight="1" x14ac:dyDescent="0.25">
      <c r="A31" s="217"/>
      <c r="B31" s="217"/>
      <c r="C31" s="217"/>
      <c r="D31" s="59" t="s">
        <v>258</v>
      </c>
      <c r="E31" s="33">
        <v>0.5</v>
      </c>
      <c r="G31" s="21"/>
    </row>
    <row r="32" spans="1:7" ht="31.5" customHeight="1" x14ac:dyDescent="0.25">
      <c r="A32" s="218"/>
      <c r="B32" s="218"/>
      <c r="C32" s="218"/>
      <c r="D32" s="59" t="s">
        <v>259</v>
      </c>
      <c r="E32" s="33">
        <v>0.5</v>
      </c>
      <c r="G32" s="21"/>
    </row>
    <row r="33" spans="1:7" ht="30" customHeight="1" x14ac:dyDescent="0.25">
      <c r="A33" s="216" t="s">
        <v>260</v>
      </c>
      <c r="B33" s="222" t="s">
        <v>261</v>
      </c>
      <c r="C33" s="219">
        <v>1</v>
      </c>
      <c r="D33" s="59" t="s">
        <v>262</v>
      </c>
      <c r="E33" s="33">
        <v>1</v>
      </c>
      <c r="G33" s="21"/>
    </row>
    <row r="34" spans="1:7" ht="24" customHeight="1" x14ac:dyDescent="0.25">
      <c r="A34" s="217"/>
      <c r="B34" s="223"/>
      <c r="C34" s="220"/>
      <c r="D34" s="59" t="s">
        <v>263</v>
      </c>
      <c r="E34" s="33">
        <v>1</v>
      </c>
      <c r="G34" s="21"/>
    </row>
    <row r="35" spans="1:7" ht="37.5" customHeight="1" x14ac:dyDescent="0.25">
      <c r="A35" s="217"/>
      <c r="B35" s="223"/>
      <c r="C35" s="220"/>
      <c r="D35" s="59" t="s">
        <v>264</v>
      </c>
      <c r="E35" s="33">
        <v>1</v>
      </c>
    </row>
    <row r="36" spans="1:7" ht="33" customHeight="1" x14ac:dyDescent="0.25">
      <c r="A36" s="217"/>
      <c r="B36" s="223"/>
      <c r="C36" s="220"/>
      <c r="D36" s="59" t="s">
        <v>265</v>
      </c>
      <c r="E36" s="33">
        <v>1</v>
      </c>
    </row>
    <row r="37" spans="1:7" ht="24" customHeight="1" x14ac:dyDescent="0.25">
      <c r="A37" s="217"/>
      <c r="B37" s="224"/>
      <c r="C37" s="221"/>
      <c r="D37" s="39" t="s">
        <v>266</v>
      </c>
      <c r="E37" s="33">
        <v>0.6</v>
      </c>
    </row>
    <row r="38" spans="1:7" ht="51.75" customHeight="1" x14ac:dyDescent="0.25">
      <c r="A38" s="217"/>
      <c r="B38" s="216" t="s">
        <v>267</v>
      </c>
      <c r="C38" s="216">
        <v>0.7</v>
      </c>
      <c r="D38" s="59" t="s">
        <v>268</v>
      </c>
      <c r="E38" s="33">
        <v>0.7</v>
      </c>
      <c r="G38" s="21"/>
    </row>
    <row r="39" spans="1:7" ht="51.75" customHeight="1" x14ac:dyDescent="0.25">
      <c r="A39" s="217"/>
      <c r="B39" s="217"/>
      <c r="C39" s="217"/>
      <c r="D39" s="59" t="s">
        <v>269</v>
      </c>
      <c r="E39" s="33">
        <v>0.7</v>
      </c>
      <c r="G39" s="21"/>
    </row>
    <row r="40" spans="1:7" ht="51.75" customHeight="1" x14ac:dyDescent="0.25">
      <c r="A40" s="217"/>
      <c r="B40" s="217"/>
      <c r="C40" s="217"/>
      <c r="D40" s="59" t="s">
        <v>270</v>
      </c>
      <c r="E40" s="33">
        <v>0.7</v>
      </c>
      <c r="G40" s="21"/>
    </row>
    <row r="41" spans="1:7" ht="51.75" customHeight="1" x14ac:dyDescent="0.25">
      <c r="A41" s="217"/>
      <c r="B41" s="218"/>
      <c r="C41" s="218"/>
      <c r="D41" s="59" t="s">
        <v>271</v>
      </c>
      <c r="E41" s="33">
        <v>0.7</v>
      </c>
      <c r="G41" s="21"/>
    </row>
    <row r="42" spans="1:7" ht="45" customHeight="1" x14ac:dyDescent="0.25">
      <c r="A42" s="217"/>
      <c r="B42" s="216" t="s">
        <v>272</v>
      </c>
      <c r="C42" s="216">
        <v>0.3</v>
      </c>
      <c r="D42" s="59" t="s">
        <v>273</v>
      </c>
      <c r="E42" s="33">
        <v>0.3</v>
      </c>
      <c r="G42" s="21"/>
    </row>
    <row r="43" spans="1:7" ht="30" x14ac:dyDescent="0.25">
      <c r="A43" s="217"/>
      <c r="B43" s="217"/>
      <c r="C43" s="217"/>
      <c r="D43" s="59" t="s">
        <v>274</v>
      </c>
      <c r="E43" s="33">
        <v>0.3</v>
      </c>
      <c r="G43" s="21"/>
    </row>
    <row r="44" spans="1:7" ht="30" x14ac:dyDescent="0.25">
      <c r="A44" s="217"/>
      <c r="B44" s="217"/>
      <c r="C44" s="217"/>
      <c r="D44" s="59" t="s">
        <v>275</v>
      </c>
      <c r="E44" s="33">
        <v>0.3</v>
      </c>
      <c r="G44" s="21"/>
    </row>
    <row r="45" spans="1:7" x14ac:dyDescent="0.25">
      <c r="A45" s="218"/>
      <c r="B45" s="218"/>
      <c r="C45" s="218"/>
      <c r="D45" s="59" t="s">
        <v>276</v>
      </c>
      <c r="E45" s="33">
        <v>0.3</v>
      </c>
      <c r="G45" s="21"/>
    </row>
    <row r="46" spans="1:7" ht="30" x14ac:dyDescent="0.25">
      <c r="A46" s="210" t="s">
        <v>277</v>
      </c>
      <c r="B46" s="210" t="s">
        <v>278</v>
      </c>
      <c r="C46" s="219">
        <v>0.8</v>
      </c>
      <c r="D46" s="59" t="s">
        <v>279</v>
      </c>
      <c r="E46" s="33">
        <v>0.8</v>
      </c>
      <c r="G46" s="21"/>
    </row>
    <row r="47" spans="1:7" x14ac:dyDescent="0.25">
      <c r="A47" s="210"/>
      <c r="B47" s="210"/>
      <c r="C47" s="220"/>
      <c r="D47" s="59" t="s">
        <v>280</v>
      </c>
      <c r="E47" s="33">
        <v>0.8</v>
      </c>
      <c r="G47" s="21"/>
    </row>
    <row r="48" spans="1:7" ht="45" x14ac:dyDescent="0.25">
      <c r="A48" s="210"/>
      <c r="B48" s="210"/>
      <c r="C48" s="221"/>
      <c r="D48" s="59" t="s">
        <v>281</v>
      </c>
      <c r="E48" s="33">
        <v>0.8</v>
      </c>
      <c r="G48" s="21"/>
    </row>
    <row r="49" spans="1:7" ht="30" x14ac:dyDescent="0.25">
      <c r="A49" s="210" t="s">
        <v>282</v>
      </c>
      <c r="B49" s="216" t="s">
        <v>283</v>
      </c>
      <c r="C49" s="159">
        <v>0.8</v>
      </c>
      <c r="D49" s="59" t="s">
        <v>284</v>
      </c>
      <c r="E49" s="33">
        <v>0.8</v>
      </c>
      <c r="G49" s="21"/>
    </row>
    <row r="50" spans="1:7" ht="30" x14ac:dyDescent="0.25">
      <c r="A50" s="210"/>
      <c r="B50" s="217"/>
      <c r="C50" s="159"/>
      <c r="D50" s="59" t="s">
        <v>285</v>
      </c>
      <c r="E50" s="33">
        <v>0.8</v>
      </c>
      <c r="G50" s="21"/>
    </row>
    <row r="51" spans="1:7" ht="30" x14ac:dyDescent="0.25">
      <c r="A51" s="210"/>
      <c r="B51" s="217"/>
      <c r="C51" s="159"/>
      <c r="D51" s="59" t="s">
        <v>286</v>
      </c>
      <c r="E51" s="33">
        <v>0.8</v>
      </c>
      <c r="G51" s="21"/>
    </row>
    <row r="52" spans="1:7" ht="30" x14ac:dyDescent="0.25">
      <c r="A52" s="210"/>
      <c r="B52" s="218"/>
      <c r="C52" s="159"/>
      <c r="D52" s="59" t="s">
        <v>287</v>
      </c>
      <c r="E52" s="33">
        <v>0.8</v>
      </c>
      <c r="G52" s="21"/>
    </row>
    <row r="53" spans="1:7" x14ac:dyDescent="0.25">
      <c r="D53" s="76"/>
      <c r="E53" s="18"/>
      <c r="G53" s="21"/>
    </row>
    <row r="54" spans="1:7" x14ac:dyDescent="0.25">
      <c r="D54" s="76"/>
      <c r="E54" s="18"/>
      <c r="G54" s="21"/>
    </row>
    <row r="55" spans="1:7" x14ac:dyDescent="0.25">
      <c r="D55" s="76"/>
      <c r="E55" s="18"/>
      <c r="G55" s="21"/>
    </row>
    <row r="56" spans="1:7" x14ac:dyDescent="0.25">
      <c r="D56" s="76"/>
      <c r="E56" s="18"/>
      <c r="G56" s="21"/>
    </row>
    <row r="57" spans="1:7" x14ac:dyDescent="0.25">
      <c r="D57" s="76"/>
      <c r="E57" s="18"/>
      <c r="G57" s="21"/>
    </row>
    <row r="58" spans="1:7" x14ac:dyDescent="0.25">
      <c r="D58" s="76"/>
      <c r="E58" s="18"/>
    </row>
    <row r="59" spans="1:7" x14ac:dyDescent="0.25">
      <c r="D59" s="76"/>
      <c r="E59" s="18"/>
    </row>
    <row r="60" spans="1:7" x14ac:dyDescent="0.25">
      <c r="D60" s="76"/>
      <c r="E60" s="18"/>
    </row>
    <row r="61" spans="1:7" x14ac:dyDescent="0.25">
      <c r="D61" s="76"/>
      <c r="E61" s="18"/>
    </row>
    <row r="62" spans="1:7" x14ac:dyDescent="0.25">
      <c r="D62" s="76"/>
      <c r="E62" s="18"/>
    </row>
    <row r="63" spans="1:7" x14ac:dyDescent="0.25">
      <c r="D63" s="76"/>
      <c r="E63" s="18"/>
    </row>
    <row r="64" spans="1:7" x14ac:dyDescent="0.25">
      <c r="D64" s="76"/>
      <c r="E64" s="18"/>
    </row>
    <row r="65" spans="4:5" x14ac:dyDescent="0.25">
      <c r="D65" s="76"/>
      <c r="E65" s="18"/>
    </row>
    <row r="66" spans="4:5" x14ac:dyDescent="0.25">
      <c r="D66" s="76"/>
      <c r="E66" s="18"/>
    </row>
    <row r="67" spans="4:5" x14ac:dyDescent="0.25">
      <c r="D67" s="76"/>
      <c r="E67" s="18"/>
    </row>
    <row r="68" spans="4:5" x14ac:dyDescent="0.25">
      <c r="D68" s="76"/>
      <c r="E68" s="18"/>
    </row>
    <row r="69" spans="4:5" x14ac:dyDescent="0.25">
      <c r="D69" s="76"/>
      <c r="E69" s="18"/>
    </row>
    <row r="70" spans="4:5" x14ac:dyDescent="0.25">
      <c r="D70" s="76"/>
      <c r="E70" s="18"/>
    </row>
    <row r="71" spans="4:5" x14ac:dyDescent="0.25">
      <c r="D71" s="76"/>
      <c r="E71" s="18"/>
    </row>
    <row r="72" spans="4:5" x14ac:dyDescent="0.25">
      <c r="D72" s="76"/>
      <c r="E72" s="18"/>
    </row>
    <row r="73" spans="4:5" x14ac:dyDescent="0.25">
      <c r="D73" s="76"/>
      <c r="E73" s="18"/>
    </row>
    <row r="74" spans="4:5" x14ac:dyDescent="0.25">
      <c r="D74" s="76"/>
      <c r="E74" s="18"/>
    </row>
    <row r="75" spans="4:5" x14ac:dyDescent="0.25">
      <c r="D75" s="76"/>
      <c r="E75" s="18"/>
    </row>
    <row r="76" spans="4:5" x14ac:dyDescent="0.25">
      <c r="D76" s="76"/>
      <c r="E76" s="18"/>
    </row>
    <row r="77" spans="4:5" x14ac:dyDescent="0.25">
      <c r="D77" s="76"/>
      <c r="E77" s="18"/>
    </row>
    <row r="78" spans="4:5" x14ac:dyDescent="0.25">
      <c r="D78" s="76"/>
      <c r="E78" s="18"/>
    </row>
    <row r="79" spans="4:5" x14ac:dyDescent="0.25">
      <c r="D79" s="76"/>
      <c r="E79" s="18"/>
    </row>
    <row r="80" spans="4:5" x14ac:dyDescent="0.25">
      <c r="D80" s="76"/>
      <c r="E80" s="18"/>
    </row>
    <row r="81" spans="4:5" x14ac:dyDescent="0.25">
      <c r="D81" s="76"/>
      <c r="E81" s="18"/>
    </row>
    <row r="82" spans="4:5" x14ac:dyDescent="0.25">
      <c r="D82" s="76"/>
      <c r="E82" s="18"/>
    </row>
    <row r="83" spans="4:5" x14ac:dyDescent="0.25">
      <c r="D83" s="76"/>
      <c r="E83" s="18"/>
    </row>
    <row r="84" spans="4:5" x14ac:dyDescent="0.25">
      <c r="D84" s="76"/>
      <c r="E84" s="18"/>
    </row>
    <row r="85" spans="4:5" x14ac:dyDescent="0.25">
      <c r="D85" s="76"/>
      <c r="E85" s="18"/>
    </row>
    <row r="86" spans="4:5" x14ac:dyDescent="0.25">
      <c r="D86" s="76"/>
      <c r="E86" s="18"/>
    </row>
    <row r="87" spans="4:5" x14ac:dyDescent="0.25">
      <c r="D87" s="76"/>
      <c r="E87" s="18"/>
    </row>
    <row r="88" spans="4:5" x14ac:dyDescent="0.25">
      <c r="D88" s="76"/>
      <c r="E88" s="18"/>
    </row>
    <row r="89" spans="4:5" x14ac:dyDescent="0.25">
      <c r="D89" s="76"/>
      <c r="E89" s="18"/>
    </row>
    <row r="90" spans="4:5" x14ac:dyDescent="0.25">
      <c r="D90" s="76"/>
      <c r="E90" s="18"/>
    </row>
    <row r="91" spans="4:5" x14ac:dyDescent="0.25">
      <c r="D91" s="76"/>
      <c r="E91" s="18"/>
    </row>
    <row r="92" spans="4:5" x14ac:dyDescent="0.25">
      <c r="D92" s="76"/>
      <c r="E92" s="18"/>
    </row>
    <row r="93" spans="4:5" x14ac:dyDescent="0.25">
      <c r="D93" s="76"/>
      <c r="E93" s="18"/>
    </row>
    <row r="94" spans="4:5" x14ac:dyDescent="0.25">
      <c r="D94" s="76"/>
      <c r="E94" s="18"/>
    </row>
    <row r="95" spans="4:5" x14ac:dyDescent="0.25">
      <c r="D95" s="76"/>
      <c r="E95" s="18"/>
    </row>
    <row r="96" spans="4:5" x14ac:dyDescent="0.25">
      <c r="D96" s="76"/>
      <c r="E96" s="18"/>
    </row>
    <row r="97" spans="4:5" x14ac:dyDescent="0.25">
      <c r="D97" s="76"/>
      <c r="E97" s="18"/>
    </row>
    <row r="98" spans="4:5" x14ac:dyDescent="0.25">
      <c r="D98" s="76"/>
      <c r="E98" s="18"/>
    </row>
    <row r="99" spans="4:5" x14ac:dyDescent="0.25">
      <c r="D99" s="76"/>
      <c r="E99" s="18"/>
    </row>
    <row r="100" spans="4:5" x14ac:dyDescent="0.25">
      <c r="D100" s="76"/>
      <c r="E100" s="18"/>
    </row>
    <row r="101" spans="4:5" x14ac:dyDescent="0.25">
      <c r="D101" s="76"/>
      <c r="E101" s="18"/>
    </row>
    <row r="102" spans="4:5" x14ac:dyDescent="0.25">
      <c r="D102" s="76"/>
      <c r="E102" s="18"/>
    </row>
    <row r="103" spans="4:5" x14ac:dyDescent="0.25">
      <c r="D103" s="76"/>
      <c r="E103" s="18"/>
    </row>
    <row r="104" spans="4:5" x14ac:dyDescent="0.25">
      <c r="D104" s="76"/>
      <c r="E104" s="18"/>
    </row>
    <row r="105" spans="4:5" x14ac:dyDescent="0.25">
      <c r="D105" s="76"/>
      <c r="E105" s="18"/>
    </row>
    <row r="106" spans="4:5" x14ac:dyDescent="0.25">
      <c r="D106" s="76"/>
      <c r="E106" s="18"/>
    </row>
    <row r="107" spans="4:5" x14ac:dyDescent="0.25">
      <c r="D107" s="76"/>
      <c r="E107" s="18"/>
    </row>
    <row r="108" spans="4:5" x14ac:dyDescent="0.25">
      <c r="D108" s="76"/>
      <c r="E108" s="18"/>
    </row>
    <row r="109" spans="4:5" x14ac:dyDescent="0.25">
      <c r="D109" s="76"/>
      <c r="E109" s="18"/>
    </row>
    <row r="110" spans="4:5" x14ac:dyDescent="0.25">
      <c r="D110" s="76"/>
      <c r="E110" s="18"/>
    </row>
    <row r="111" spans="4:5" x14ac:dyDescent="0.25">
      <c r="D111" s="76"/>
      <c r="E111" s="18"/>
    </row>
    <row r="112" spans="4:5" x14ac:dyDescent="0.25">
      <c r="D112" s="76"/>
      <c r="E112" s="18"/>
    </row>
    <row r="113" spans="4:5" x14ac:dyDescent="0.25">
      <c r="D113" s="76"/>
      <c r="E113" s="18"/>
    </row>
    <row r="114" spans="4:5" x14ac:dyDescent="0.25">
      <c r="D114" s="76"/>
      <c r="E114" s="18"/>
    </row>
    <row r="115" spans="4:5" x14ac:dyDescent="0.25">
      <c r="D115" s="76"/>
      <c r="E115" s="18"/>
    </row>
    <row r="116" spans="4:5" x14ac:dyDescent="0.25">
      <c r="D116" s="76"/>
      <c r="E116" s="18"/>
    </row>
    <row r="117" spans="4:5" x14ac:dyDescent="0.25">
      <c r="D117" s="76"/>
      <c r="E117" s="18"/>
    </row>
    <row r="118" spans="4:5" x14ac:dyDescent="0.25">
      <c r="D118" s="76"/>
      <c r="E118" s="18"/>
    </row>
    <row r="119" spans="4:5" x14ac:dyDescent="0.25">
      <c r="D119" s="76"/>
      <c r="E119" s="18"/>
    </row>
    <row r="120" spans="4:5" x14ac:dyDescent="0.25">
      <c r="D120" s="76"/>
      <c r="E120" s="18"/>
    </row>
  </sheetData>
  <mergeCells count="31">
    <mergeCell ref="A46:A48"/>
    <mergeCell ref="B46:B48"/>
    <mergeCell ref="C46:C48"/>
    <mergeCell ref="A49:A52"/>
    <mergeCell ref="B49:B52"/>
    <mergeCell ref="C49:C52"/>
    <mergeCell ref="A33:A45"/>
    <mergeCell ref="B33:B37"/>
    <mergeCell ref="C33:C37"/>
    <mergeCell ref="B38:B41"/>
    <mergeCell ref="C38:C41"/>
    <mergeCell ref="B42:B45"/>
    <mergeCell ref="C42:C45"/>
    <mergeCell ref="A15:A32"/>
    <mergeCell ref="B15:B19"/>
    <mergeCell ref="C15:C19"/>
    <mergeCell ref="B20:B24"/>
    <mergeCell ref="C20:C24"/>
    <mergeCell ref="B25:B27"/>
    <mergeCell ref="C25:C27"/>
    <mergeCell ref="B28:B32"/>
    <mergeCell ref="C28:C32"/>
    <mergeCell ref="A2:A14"/>
    <mergeCell ref="B2:B4"/>
    <mergeCell ref="C2:C4"/>
    <mergeCell ref="B5:B9"/>
    <mergeCell ref="C5:C9"/>
    <mergeCell ref="B10:B12"/>
    <mergeCell ref="C10:C12"/>
    <mergeCell ref="B13:B14"/>
    <mergeCell ref="C13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EDANA</vt:lpstr>
      <vt:lpstr>Variables - Valoración</vt:lpstr>
      <vt:lpstr>VEA Actividades</vt:lpstr>
      <vt:lpstr>Necesidad ambiental</vt:lpstr>
      <vt:lpstr>VEA-Información extra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Camilo Novoa Gonzalez</dc:creator>
  <cp:keywords/>
  <dc:description/>
  <cp:lastModifiedBy>Cristian Camilo Novoa Gonzalez</cp:lastModifiedBy>
  <cp:revision/>
  <dcterms:created xsi:type="dcterms:W3CDTF">2024-05-31T16:06:26Z</dcterms:created>
  <dcterms:modified xsi:type="dcterms:W3CDTF">2025-03-27T21:47:48Z</dcterms:modified>
  <cp:category/>
  <cp:contentStatus/>
</cp:coreProperties>
</file>